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4.xml" ContentType="application/vnd.openxmlformats-officedocument.drawing+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charts/chart17.xml" ContentType="application/vnd.openxmlformats-officedocument.drawingml.chart+xml"/>
  <Override PartName="/xl/charts/style7.xml" ContentType="application/vnd.ms-office.chartstyle+xml"/>
  <Override PartName="/xl/charts/colors7.xml" ContentType="application/vnd.ms-office.chartcolorstyle+xml"/>
  <Override PartName="/xl/charts/chart18.xml" ContentType="application/vnd.openxmlformats-officedocument.drawingml.chart+xml"/>
  <Override PartName="/xl/charts/style8.xml" ContentType="application/vnd.ms-office.chartstyle+xml"/>
  <Override PartName="/xl/charts/colors8.xml" ContentType="application/vnd.ms-office.chartcolorstyle+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charts/chart20.xml" ContentType="application/vnd.openxmlformats-officedocument.drawingml.chart+xml"/>
  <Override PartName="/xl/charts/style10.xml" ContentType="application/vnd.ms-office.chartstyle+xml"/>
  <Override PartName="/xl/charts/colors10.xml" ContentType="application/vnd.ms-office.chartcolorstyle+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22.xml" ContentType="application/vnd.openxmlformats-officedocument.drawingml.chart+xml"/>
  <Override PartName="/xl/charts/style12.xml" ContentType="application/vnd.ms-office.chartstyle+xml"/>
  <Override PartName="/xl/charts/colors12.xml" ContentType="application/vnd.ms-office.chartcolorstyle+xml"/>
  <Override PartName="/xl/charts/chart23.xml" ContentType="application/vnd.openxmlformats-officedocument.drawingml.chart+xml"/>
  <Override PartName="/xl/charts/style13.xml" ContentType="application/vnd.ms-office.chartstyle+xml"/>
  <Override PartName="/xl/charts/colors13.xml" ContentType="application/vnd.ms-office.chartcolorstyle+xml"/>
  <Override PartName="/xl/charts/chart24.xml" ContentType="application/vnd.openxmlformats-officedocument.drawingml.chart+xml"/>
  <Override PartName="/xl/charts/style14.xml" ContentType="application/vnd.ms-office.chartstyle+xml"/>
  <Override PartName="/xl/charts/colors14.xml" ContentType="application/vnd.ms-office.chartcolorstyle+xml"/>
  <Override PartName="/xl/charts/chart25.xml" ContentType="application/vnd.openxmlformats-officedocument.drawingml.chart+xml"/>
  <Override PartName="/xl/charts/style15.xml" ContentType="application/vnd.ms-office.chartstyle+xml"/>
  <Override PartName="/xl/charts/colors15.xml" ContentType="application/vnd.ms-office.chartcolorstyle+xml"/>
  <Override PartName="/xl/charts/chart26.xml" ContentType="application/vnd.openxmlformats-officedocument.drawingml.chart+xml"/>
  <Override PartName="/xl/charts/style16.xml" ContentType="application/vnd.ms-office.chartstyle+xml"/>
  <Override PartName="/xl/charts/colors16.xml" ContentType="application/vnd.ms-office.chartcolorstyle+xml"/>
  <Override PartName="/xl/charts/chart27.xml" ContentType="application/vnd.openxmlformats-officedocument.drawingml.chart+xml"/>
  <Override PartName="/xl/charts/style17.xml" ContentType="application/vnd.ms-office.chartstyle+xml"/>
  <Override PartName="/xl/charts/colors17.xml" ContentType="application/vnd.ms-office.chartcolorstyle+xml"/>
  <Override PartName="/xl/charts/chart28.xml" ContentType="application/vnd.openxmlformats-officedocument.drawingml.chart+xml"/>
  <Override PartName="/xl/charts/style18.xml" ContentType="application/vnd.ms-office.chartstyle+xml"/>
  <Override PartName="/xl/charts/colors18.xml" ContentType="application/vnd.ms-office.chartcolorstyle+xml"/>
  <Override PartName="/xl/charts/chart29.xml" ContentType="application/vnd.openxmlformats-officedocument.drawingml.chart+xml"/>
  <Override PartName="/xl/charts/style19.xml" ContentType="application/vnd.ms-office.chartstyle+xml"/>
  <Override PartName="/xl/charts/colors19.xml" ContentType="application/vnd.ms-office.chartcolorstyle+xml"/>
  <Override PartName="/xl/charts/chart30.xml" ContentType="application/vnd.openxmlformats-officedocument.drawingml.chart+xml"/>
  <Override PartName="/xl/charts/style20.xml" ContentType="application/vnd.ms-office.chartstyle+xml"/>
  <Override PartName="/xl/charts/colors20.xml" ContentType="application/vnd.ms-office.chartcolorstyle+xml"/>
  <Override PartName="/xl/charts/chart3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xml"/>
  <Override PartName="/xl/charts/chart32.xml" ContentType="application/vnd.openxmlformats-officedocument.drawingml.chart+xml"/>
  <Override PartName="/xl/charts/style22.xml" ContentType="application/vnd.ms-office.chartstyle+xml"/>
  <Override PartName="/xl/charts/colors22.xml" ContentType="application/vnd.ms-office.chartcolorstyle+xml"/>
  <Override PartName="/xl/charts/chartEx1.xml" ContentType="application/vnd.ms-office.chartex+xml"/>
  <Override PartName="/xl/charts/style23.xml" ContentType="application/vnd.ms-office.chartstyle+xml"/>
  <Override PartName="/xl/charts/colors2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4137" documentId="8_{BF1D83FD-EB09-456D-BECC-03F04ADE9534}" xr6:coauthVersionLast="47" xr6:coauthVersionMax="47" xr10:uidLastSave="{4620EA21-49F0-45B6-B83E-F5D6136640A7}"/>
  <bookViews>
    <workbookView xWindow="-120" yWindow="-120" windowWidth="29040" windowHeight="15720" tabRatio="852" xr2:uid="{00000000-000D-0000-FFFF-FFFF00000000}"/>
  </bookViews>
  <sheets>
    <sheet name="SISSEJUHATUS" sheetId="21" r:id="rId1"/>
    <sheet name="ÜLDANDMED" sheetId="11" r:id="rId2"/>
    <sheet name="ELEKTER" sheetId="2" r:id="rId3"/>
    <sheet name="SOOJUS" sheetId="14" r:id="rId4"/>
    <sheet name="VESI" sheetId="3" r:id="rId5"/>
    <sheet name="PABER" sheetId="5" r:id="rId6"/>
    <sheet name="JÄÄTMED" sheetId="15" r:id="rId7"/>
    <sheet name="KOOND" sheetId="19" r:id="rId8"/>
    <sheet name="KHG_OMA SÕIDUKID M1" sheetId="16" r:id="rId9"/>
    <sheet name="KHG_HAJUSHEITMED M1" sheetId="30" r:id="rId10"/>
    <sheet name="KHG_TÖÖREISID M3" sheetId="25" r:id="rId11"/>
    <sheet name="KHG_TÖÖLE-KOJU M3" sheetId="28" r:id="rId12"/>
    <sheet name="KHG_TRANSPORDITEENUS M3" sheetId="27" r:id="rId13"/>
    <sheet name="KHG JALAJÄLG KOOND" sheetId="8" r:id="rId14"/>
    <sheet name="KHG eriheitetegurid" sheetId="17" r:id="rId15"/>
  </sheets>
  <definedNames>
    <definedName name="_xlchart.v1.0" hidden="1">('KHG JALAJÄLG KOOND'!$AH$23:$AH$24,'KHG JALAJÄLG KOOND'!$AH$26:$AH$28,'KHG JALAJÄLG KOOND'!$AH$30:$AH$36)</definedName>
    <definedName name="_xlchart.v1.1" hidden="1">('KHG JALAJÄLG KOOND'!$Y$23:$Z$24,'KHG JALAJÄLG KOOND'!$Y$26:$Z$28,'KHG JALAJÄLG KOOND'!$Y$30:$Z$36)</definedName>
    <definedName name="a_2022">ÜLDANDMED!$C$12</definedName>
    <definedName name="a_2023">ÜLDANDMED!$D$12</definedName>
    <definedName name="a_2024">ÜLDANDMED!$E$12</definedName>
    <definedName name="a_2025">ÜLDANDMED!$F$12</definedName>
    <definedName name="a_2026">ÜLDANDMED!$G$12</definedName>
    <definedName name="a_2027">ÜLDANDMED!$H$12</definedName>
    <definedName name="a_2028">ÜLDANDMED!$I$12</definedName>
    <definedName name="b_2022">ÜLDANDMED!$C$13</definedName>
    <definedName name="b_2023">ÜLDANDMED!$D$13</definedName>
    <definedName name="b_2024">ÜLDANDMED!$E$13</definedName>
    <definedName name="b_2025">ÜLDANDMED!$F$13</definedName>
    <definedName name="b_2026">ÜLDANDMED!$G$13</definedName>
    <definedName name="b_2027">ÜLDANDMED!$H$13</definedName>
    <definedName name="b_2028">ÜLDANDMED!$I$13</definedName>
    <definedName name="c_2022">ÜLDANDMED!$C$14</definedName>
    <definedName name="c_2023">ÜLDANDMED!$D$14</definedName>
    <definedName name="c_2024">ÜLDANDMED!$E$14</definedName>
    <definedName name="c_2025">ÜLDANDMED!$F$14</definedName>
    <definedName name="c_2026">ÜLDANDMED!$G$14</definedName>
    <definedName name="c_2027">ÜLDANDMED!$H$14</definedName>
    <definedName name="c_2028">ÜLDANDMED!$I$14</definedName>
    <definedName name="jäätmed_biojäätmed">'KHG eriheitetegurid'!$D$360</definedName>
    <definedName name="jäätmed_klaas">'KHG eriheitetegurid'!$D$361</definedName>
    <definedName name="jäätmed_paber">'KHG eriheitetegurid'!$D$362</definedName>
    <definedName name="jäätmed_segaolme_prügila">'KHG eriheitetegurid'!$D$364</definedName>
    <definedName name="jäätmed_segaolme_põletus">'KHG eriheitetegurid'!$D$365</definedName>
    <definedName name="jäätmed_segapakend">'KHG eriheitetegurid'!$D$363</definedName>
    <definedName name="kodukontor_elekter">'KHG eriheitetegurid'!$D$370</definedName>
    <definedName name="kodukontor_valgustus">'KHG eriheitetegurid'!$D$371</definedName>
    <definedName name="kütus_bensiin_kaubik_2022">'KHG eriheitetegurid'!$D$84</definedName>
    <definedName name="kütus_bensiin_kaubik_2023">'KHG eriheitetegurid'!$D$85</definedName>
    <definedName name="kütus_bensiin_kaubik_2024">'KHG eriheitetegurid'!$D$86</definedName>
    <definedName name="kütus_bensiin_kaubik_2025">'KHG eriheitetegurid'!$D$87</definedName>
    <definedName name="kütus_bensiin_kaubik_2026">'KHG eriheitetegurid'!$D$88</definedName>
    <definedName name="kütus_bensiin_kaubik_2027">'KHG eriheitetegurid'!$D$89</definedName>
    <definedName name="kütus_bensiin_kaubik_2028">'KHG eriheitetegurid'!$D$90</definedName>
    <definedName name="kütus_bensiin_sõiduauto_2022">'KHG eriheitetegurid'!$D$91</definedName>
    <definedName name="kütus_bensiin_sõiduauto_2023">'KHG eriheitetegurid'!$D$92</definedName>
    <definedName name="kütus_bensiin_sõiduauto_2024">'KHG eriheitetegurid'!$D$93</definedName>
    <definedName name="kütus_bensiin_sõiduauto_2025">'KHG eriheitetegurid'!$D$94</definedName>
    <definedName name="kütus_bensiin_sõiduauto_2026">'KHG eriheitetegurid'!$D$95</definedName>
    <definedName name="kütus_bensiin_sõiduauto_2027">'KHG eriheitetegurid'!$D$96</definedName>
    <definedName name="kütus_bensiin_sõiduauto_2028">'KHG eriheitetegurid'!$D$97</definedName>
    <definedName name="kütus_bioCNG_sõiduauto_2022">'KHG eriheitetegurid'!$D$98</definedName>
    <definedName name="kütus_bioCNG_sõiduauto_2023">'KHG eriheitetegurid'!$D$99</definedName>
    <definedName name="kütus_bioCNG_sõiduauto_2024">'KHG eriheitetegurid'!$D$100</definedName>
    <definedName name="kütus_bioCNG_sõiduauto_2025">'KHG eriheitetegurid'!$D$101</definedName>
    <definedName name="kütus_bioCNG_sõiduauto_2026">'KHG eriheitetegurid'!$D$102</definedName>
    <definedName name="kütus_bioCNG_sõiduauto_2027">'KHG eriheitetegurid'!$D$103</definedName>
    <definedName name="kütus_bioCNG_sõiduauto_2028">'KHG eriheitetegurid'!$D$104</definedName>
    <definedName name="kütus_CNG_sõiduauto_2022">'KHG eriheitetegurid'!$D$126</definedName>
    <definedName name="kütus_CNG_sõiduauto_2023">'KHG eriheitetegurid'!$D$127</definedName>
    <definedName name="kütus_CNG_sõiduauto_2024">'KHG eriheitetegurid'!$D$128</definedName>
    <definedName name="kütus_CNG_sõiduauto_2025">'KHG eriheitetegurid'!$D$129</definedName>
    <definedName name="kütus_CNG_sõiduauto_2026">'KHG eriheitetegurid'!$D$130</definedName>
    <definedName name="kütus_CNG_sõiduauto_2027">'KHG eriheitetegurid'!$D$131</definedName>
    <definedName name="kütus_CNG_sõiduauto_2028">'KHG eriheitetegurid'!$D$132</definedName>
    <definedName name="kütus_diisel_buss_2022">'KHG eriheitetegurid'!$D$105</definedName>
    <definedName name="kütus_diisel_buss_2023">'KHG eriheitetegurid'!$D$106</definedName>
    <definedName name="kütus_diisel_buss_2024">'KHG eriheitetegurid'!$D$107</definedName>
    <definedName name="kütus_diisel_buss_2025">'KHG eriheitetegurid'!$D$108</definedName>
    <definedName name="kütus_diisel_buss_2026">'KHG eriheitetegurid'!$D$109</definedName>
    <definedName name="kütus_diisel_buss_2027">'KHG eriheitetegurid'!$D$110</definedName>
    <definedName name="kütus_diisel_buss_2028">'KHG eriheitetegurid'!$D$111</definedName>
    <definedName name="kütus_diisel_kaubik_2022">'KHG eriheitetegurid'!$D$112</definedName>
    <definedName name="kütus_diisel_kaubik_2023">'KHG eriheitetegurid'!$D$113</definedName>
    <definedName name="kütus_diisel_kaubik_2024">'KHG eriheitetegurid'!$D$114</definedName>
    <definedName name="kütus_diisel_kaubik_2025">'KHG eriheitetegurid'!$D$115</definedName>
    <definedName name="kütus_diisel_kaubik_2026">'KHG eriheitetegurid'!$D$116</definedName>
    <definedName name="kütus_diisel_kaubik_2027">'KHG eriheitetegurid'!$D$117</definedName>
    <definedName name="kütus_diisel_kaubik_2028">'KHG eriheitetegurid'!$D$118</definedName>
    <definedName name="kütus_diisel_sõiduauto_2022">'KHG eriheitetegurid'!$D$119</definedName>
    <definedName name="kütus_diisel_sõiduauto_2023">'KHG eriheitetegurid'!$D$120</definedName>
    <definedName name="kütus_diisel_sõiduauto_2024">'KHG eriheitetegurid'!$D$121</definedName>
    <definedName name="kütus_diisel_sõiduauto_2025">'KHG eriheitetegurid'!$D$122</definedName>
    <definedName name="kütus_diisel_sõiduauto_2026">'KHG eriheitetegurid'!$D$123</definedName>
    <definedName name="kütus_diisel_sõiduauto_2027">'KHG eriheitetegurid'!$D$124</definedName>
    <definedName name="kütus_diisel_sõiduauto_2028">'KHG eriheitetegurid'!$D$125</definedName>
    <definedName name="kütus_taastuvelekter">'KHG eriheitetegurid'!$D$133</definedName>
    <definedName name="lehträtik">'KHG eriheitetegurid'!$D$354</definedName>
    <definedName name="lokaalküte_biomass_2022">'KHG eriheitetegurid'!$D$45</definedName>
    <definedName name="lokaalküte_biomass_2023">'KHG eriheitetegurid'!$D$46</definedName>
    <definedName name="lokaalküte_biomass_2024">'KHG eriheitetegurid'!$D$47</definedName>
    <definedName name="lokaalküte_biomass_2025">'KHG eriheitetegurid'!$D$48</definedName>
    <definedName name="lokaalküte_biomass_2026">'KHG eriheitetegurid'!$D$49</definedName>
    <definedName name="lokaalküte_biomass_2027">'KHG eriheitetegurid'!$D$50</definedName>
    <definedName name="lokaalküte_biomass_2028">'KHG eriheitetegurid'!$D$51</definedName>
    <definedName name="lokaalküte_freesturvas_2022">'KHG eriheitetegurid'!$D$52</definedName>
    <definedName name="lokaalküte_freesturvas_2023">'KHG eriheitetegurid'!$D$53</definedName>
    <definedName name="lokaalküte_freesturvas_2024">'KHG eriheitetegurid'!$D$54</definedName>
    <definedName name="lokaalküte_freesturvas_2025">'KHG eriheitetegurid'!$D$55</definedName>
    <definedName name="lokaalküte_freesturvas_2026">'KHG eriheitetegurid'!$D$56</definedName>
    <definedName name="lokaalküte_freesturvas_2027">'KHG eriheitetegurid'!$D$57</definedName>
    <definedName name="lokaalküte_freesturvas_2028">'KHG eriheitetegurid'!$D$58</definedName>
    <definedName name="lokaalküte_kütteõli_2022">'KHG eriheitetegurid'!$D$59</definedName>
    <definedName name="lokaalküte_kütteõli_2023">'KHG eriheitetegurid'!$D$60</definedName>
    <definedName name="lokaalküte_kütteõli_2024">'KHG eriheitetegurid'!$D$61</definedName>
    <definedName name="lokaalküte_kütteõli_2025">'KHG eriheitetegurid'!$D$62</definedName>
    <definedName name="lokaalküte_kütteõli_2026">'KHG eriheitetegurid'!$D$63</definedName>
    <definedName name="lokaalküte_kütteõli_2027">'KHG eriheitetegurid'!$D$64</definedName>
    <definedName name="lokaalküte_kütteõli_2028">'KHG eriheitetegurid'!$D$65</definedName>
    <definedName name="lokaalküte_maagaas_2022">'KHG eriheitetegurid'!$D$66</definedName>
    <definedName name="lokaalküte_maagaas_2023">'KHG eriheitetegurid'!$D$67</definedName>
    <definedName name="lokaalküte_maagaas_2024">'KHG eriheitetegurid'!$D$68</definedName>
    <definedName name="lokaalküte_maagaas_2025">'KHG eriheitetegurid'!$D$69</definedName>
    <definedName name="lokaalküte_maagaas_2026">'KHG eriheitetegurid'!$D$70</definedName>
    <definedName name="lokaalküte_maagaas_2027">'KHG eriheitetegurid'!$D$71</definedName>
    <definedName name="lokaalküte_maagaas_2028">'KHG eriheitetegurid'!$D$72</definedName>
    <definedName name="lokaalküte_põlevkiviõli_2022">'KHG eriheitetegurid'!$D$73</definedName>
    <definedName name="lokaalküte_põlevkiviõli_2023">'KHG eriheitetegurid'!$D$74</definedName>
    <definedName name="lokaalküte_põlevkiviõli_2024">'KHG eriheitetegurid'!$D$75</definedName>
    <definedName name="lokaalküte_põlevkiviõli_2025">'KHG eriheitetegurid'!$D$76</definedName>
    <definedName name="lokaalküte_põlevkiviõli_2026">'KHG eriheitetegurid'!$D$77</definedName>
    <definedName name="lokaalküte_põlevkiviõli_2027">'KHG eriheitetegurid'!$D$78</definedName>
    <definedName name="lokaalküte_põlevkiviõli_2028">'KHG eriheitetegurid'!$D$79</definedName>
    <definedName name="paber_2022">'KHG eriheitetegurid'!$D$347</definedName>
    <definedName name="paber_2023">'KHG eriheitetegurid'!$D$348</definedName>
    <definedName name="paber_2024">'KHG eriheitetegurid'!$D$349</definedName>
    <definedName name="paber_2025">'KHG eriheitetegurid'!$D$350</definedName>
    <definedName name="paber_2026">'KHG eriheitetegurid'!$D$351</definedName>
    <definedName name="paber_2027">'KHG eriheitetegurid'!$D$352</definedName>
    <definedName name="paber_2028">'KHG eriheitetegurid'!$D$353</definedName>
    <definedName name="salvrätik">'KHG eriheitetegurid'!#REF!</definedName>
    <definedName name="segajääk_2022">'KHG eriheitetegurid'!$D$7</definedName>
    <definedName name="segajääk_2023">'KHG eriheitetegurid'!$D$8</definedName>
    <definedName name="segajääk_2024">'KHG eriheitetegurid'!$D$9</definedName>
    <definedName name="segajääk_2025">'KHG eriheitetegurid'!$D$10</definedName>
    <definedName name="segajääk_2026">'KHG eriheitetegurid'!$D$11</definedName>
    <definedName name="segajääk_2027">'KHG eriheitetegurid'!$D$12</definedName>
    <definedName name="segajääk_2028">'KHG eriheitetegurid'!$D$13</definedName>
    <definedName name="sõiduauto_bensiin_2022">'KHG eriheitetegurid'!$D$163</definedName>
    <definedName name="sõiduauto_bensiin_2023">'KHG eriheitetegurid'!$D$164</definedName>
    <definedName name="sõiduauto_bensiin_2024">'KHG eriheitetegurid'!$D$165</definedName>
    <definedName name="sõiduauto_bensiin_2025">'KHG eriheitetegurid'!$D$166</definedName>
    <definedName name="sõiduauto_bensiin_2026">'KHG eriheitetegurid'!$D$167</definedName>
    <definedName name="sõiduauto_bensiin_2027">'KHG eriheitetegurid'!$D$168</definedName>
    <definedName name="sõiduauto_bensiin_2028">'KHG eriheitetegurid'!$D$169</definedName>
    <definedName name="sõiduauto_bioCNG_2022">'KHG eriheitetegurid'!$D$177</definedName>
    <definedName name="sõiduauto_bioCNG_2023">'KHG eriheitetegurid'!$D$178</definedName>
    <definedName name="sõiduauto_bioCNG_2024">'KHG eriheitetegurid'!$D$179</definedName>
    <definedName name="sõiduauto_bioCNG_2025">'KHG eriheitetegurid'!$D$180</definedName>
    <definedName name="sõiduauto_bioCNG_2026">'KHG eriheitetegurid'!$D$181</definedName>
    <definedName name="sõiduauto_bioCNG_2027">'KHG eriheitetegurid'!$D$182</definedName>
    <definedName name="sõiduauto_bioCNG_2028">'KHG eriheitetegurid'!$D$183</definedName>
    <definedName name="sõiduauto_CNG_2022">'KHG eriheitetegurid'!$D$184</definedName>
    <definedName name="sõiduauto_CNG_2023">'KHG eriheitetegurid'!$D$185</definedName>
    <definedName name="sõiduauto_CNG_2024">'KHG eriheitetegurid'!$D$186</definedName>
    <definedName name="sõiduauto_CNG_2025">'KHG eriheitetegurid'!$D$187</definedName>
    <definedName name="sõiduauto_CNG_2026">'KHG eriheitetegurid'!$D$188</definedName>
    <definedName name="sõiduauto_CNG_2027">'KHG eriheitetegurid'!$D$189</definedName>
    <definedName name="sõiduauto_CNG_2028">'KHG eriheitetegurid'!$D$190</definedName>
    <definedName name="sõiduauto_diisel_2022">'KHG eriheitetegurid'!$D$170</definedName>
    <definedName name="sõiduauto_diisel_2023">'KHG eriheitetegurid'!$D$171</definedName>
    <definedName name="sõiduauto_diisel_2024">'KHG eriheitetegurid'!$D$172</definedName>
    <definedName name="sõiduauto_diisel_2025">'KHG eriheitetegurid'!$D$173</definedName>
    <definedName name="sõiduauto_diisel_2026">'KHG eriheitetegurid'!$D$174</definedName>
    <definedName name="sõiduauto_diisel_2027">'KHG eriheitetegurid'!$D$175</definedName>
    <definedName name="sõiduauto_diisel_2028">'KHG eriheitetegurid'!$D$176</definedName>
    <definedName name="sõiduauto_hübriid_2022">'KHG eriheitetegurid'!$D$191</definedName>
    <definedName name="sõiduauto_hübriid_2023">'KHG eriheitetegurid'!$D$192</definedName>
    <definedName name="sõiduauto_hübriid_2024">'KHG eriheitetegurid'!$D$193</definedName>
    <definedName name="sõiduauto_hübriid_2025">'KHG eriheitetegurid'!$D$194</definedName>
    <definedName name="sõiduauto_hübriid_2026">'KHG eriheitetegurid'!$D$195</definedName>
    <definedName name="sõiduauto_hübriid_2027">'KHG eriheitetegurid'!$D$196</definedName>
    <definedName name="sõiduauto_hübriid_2028">'KHG eriheitetegurid'!$D$197</definedName>
    <definedName name="sõiduauto_taastuvelekter">'KHG eriheitetegurid'!$D$198</definedName>
    <definedName name="sõiduauto_tavaelekter_2022">'KHG eriheitetegurid'!$D$199</definedName>
    <definedName name="sõiduauto_tavaelekter_2023">'KHG eriheitetegurid'!$D$200</definedName>
    <definedName name="sõiduauto_tavaelekter_2024">'KHG eriheitetegurid'!$D$201</definedName>
    <definedName name="sõiduauto_tavaelekter_2025">'KHG eriheitetegurid'!$D$202</definedName>
    <definedName name="sõiduauto_tavaelekter_2026">'KHG eriheitetegurid'!$D$203</definedName>
    <definedName name="sõiduauto_tavaelekter_2027">'KHG eriheitetegurid'!$D$204</definedName>
    <definedName name="sõiduauto_tavaelekter_2028">'KHG eriheitetegurid'!$D$205</definedName>
    <definedName name="sõiduk_buss_kaugliin_2022">'KHG eriheitetegurid'!$D$213</definedName>
    <definedName name="sõiduk_buss_kaugliin_2023">'KHG eriheitetegurid'!$D$214</definedName>
    <definedName name="sõiduk_buss_kaugliin_2024">'KHG eriheitetegurid'!$D$215</definedName>
    <definedName name="sõiduk_buss_kaugliin_2025">'KHG eriheitetegurid'!$D$216</definedName>
    <definedName name="sõiduk_buss_kaugliin_2026">'KHG eriheitetegurid'!$D$217</definedName>
    <definedName name="sõiduk_buss_kaugliin_2027">'KHG eriheitetegurid'!$D$218</definedName>
    <definedName name="sõiduk_buss_kaugliin_2028">'KHG eriheitetegurid'!$D$219</definedName>
    <definedName name="sõiduk_buss_linnaliin_Eesti_2022">'KHG eriheitetegurid'!$D$220</definedName>
    <definedName name="sõiduk_buss_linnaliin_Eesti_2023">'KHG eriheitetegurid'!$D$221</definedName>
    <definedName name="sõiduk_buss_linnaliin_Eesti_2024">'KHG eriheitetegurid'!$D$222</definedName>
    <definedName name="sõiduk_buss_linnaliin_Eesti_2025">'KHG eriheitetegurid'!$D$223</definedName>
    <definedName name="sõiduk_buss_linnaliin_Eesti_2026">'KHG eriheitetegurid'!$D$224</definedName>
    <definedName name="sõiduk_buss_linnaliin_Eesti_2027">'KHG eriheitetegurid'!$D$225</definedName>
    <definedName name="sõiduk_buss_linnaliin_Eesti_2028">'KHG eriheitetegurid'!$D$226</definedName>
    <definedName name="sõiduk_buss_linnaliin_Tallinn_2022">'KHG eriheitetegurid'!$D$227</definedName>
    <definedName name="sõiduk_buss_linnaliin_Tallinn_2023">'KHG eriheitetegurid'!$D$228</definedName>
    <definedName name="sõiduk_buss_linnaliin_Tallinn_2024">'KHG eriheitetegurid'!$D$229</definedName>
    <definedName name="sõiduk_buss_linnaliin_Tallinn_2025">'KHG eriheitetegurid'!$D$230</definedName>
    <definedName name="sõiduk_buss_linnaliin_Tallinn_2026">'KHG eriheitetegurid'!$D$231</definedName>
    <definedName name="sõiduk_buss_linnaliin_Tallinn_2027">'KHG eriheitetegurid'!$D$232</definedName>
    <definedName name="sõiduk_buss_linnaliin_Tallinn_2028">'KHG eriheitetegurid'!$D$233</definedName>
    <definedName name="sõiduk_buss_maakondlik_2022">'KHG eriheitetegurid'!$D$234</definedName>
    <definedName name="sõiduk_buss_maakondlik_2023">'KHG eriheitetegurid'!$D$235</definedName>
    <definedName name="sõiduk_buss_maakondlik_2024">'KHG eriheitetegurid'!$D$236</definedName>
    <definedName name="sõiduk_buss_maakondlik_2025">'KHG eriheitetegurid'!$D$237</definedName>
    <definedName name="sõiduk_buss_maakondlik_2026">'KHG eriheitetegurid'!$D$238</definedName>
    <definedName name="sõiduk_buss_maakondlik_2027">'KHG eriheitetegurid'!$D$239</definedName>
    <definedName name="sõiduk_buss_maakondlik_2028">'KHG eriheitetegurid'!$D$240</definedName>
    <definedName name="sõiduk_diiselrong_2022">'KHG eriheitetegurid'!$D$242</definedName>
    <definedName name="sõiduk_diiselrong_2023">'KHG eriheitetegurid'!$D$243</definedName>
    <definedName name="sõiduk_diiselrong_2024">'KHG eriheitetegurid'!$D$244</definedName>
    <definedName name="sõiduk_diiselrong_2025">'KHG eriheitetegurid'!$D$245</definedName>
    <definedName name="sõiduk_diiselrong_2026">'KHG eriheitetegurid'!$D$246</definedName>
    <definedName name="sõiduk_diiselrong_2027">'KHG eriheitetegurid'!$D$247</definedName>
    <definedName name="sõiduk_diiselrong_2028">'KHG eriheitetegurid'!$D$248</definedName>
    <definedName name="sõiduk_elektrirong">'KHG eriheitetegurid'!$D$241</definedName>
    <definedName name="sõiduk_laev_2022">'KHG eriheitetegurid'!$D$249</definedName>
    <definedName name="sõiduk_laev_2023">'KHG eriheitetegurid'!$D$250</definedName>
    <definedName name="sõiduk_laev_2024">'KHG eriheitetegurid'!$D$251</definedName>
    <definedName name="sõiduk_laev_2025">'KHG eriheitetegurid'!$D$252</definedName>
    <definedName name="sõiduk_laev_2026">'KHG eriheitetegurid'!$D$253</definedName>
    <definedName name="sõiduk_laev_2027">'KHG eriheitetegurid'!$D$254</definedName>
    <definedName name="sõiduk_laev_2028">'KHG eriheitetegurid'!$D$255</definedName>
    <definedName name="sõiduk_lennuk_2022">'KHG eriheitetegurid'!$D$256</definedName>
    <definedName name="sõiduk_lennuk_2023">'KHG eriheitetegurid'!$D$257</definedName>
    <definedName name="sõiduk_lennuk_2024">'KHG eriheitetegurid'!$D$258</definedName>
    <definedName name="sõiduk_lennuk_2025">'KHG eriheitetegurid'!$D$259</definedName>
    <definedName name="sõiduk_lennuk_2026">'KHG eriheitetegurid'!$D$260</definedName>
    <definedName name="sõiduk_lennuk_2027">'KHG eriheitetegurid'!$D$261</definedName>
    <definedName name="sõiduk_lennuk_2028">'KHG eriheitetegurid'!$D$262</definedName>
    <definedName name="sõiduk_taastuvelektriratas">'KHG eriheitetegurid'!$D$272</definedName>
    <definedName name="sõiduk_takso_2022">'KHG eriheitetegurid'!$D$206</definedName>
    <definedName name="sõiduk_takso_2023">'KHG eriheitetegurid'!$D$207</definedName>
    <definedName name="sõiduk_takso_2024">'KHG eriheitetegurid'!$D$208</definedName>
    <definedName name="sõiduk_takso_2025">'KHG eriheitetegurid'!$D$209</definedName>
    <definedName name="sõiduk_takso_2026">'KHG eriheitetegurid'!$D$210</definedName>
    <definedName name="sõiduk_takso_2027">'KHG eriheitetegurid'!$D$211</definedName>
    <definedName name="sõiduk_takso_2028">'KHG eriheitetegurid'!$D$212</definedName>
    <definedName name="sõiduk_tavaelektriratas_2022">'KHG eriheitetegurid'!$D$265</definedName>
    <definedName name="sõiduk_tavaelektriratas_2023">'KHG eriheitetegurid'!$D$266</definedName>
    <definedName name="sõiduk_tavaelektriratas_2024">'KHG eriheitetegurid'!$D$267</definedName>
    <definedName name="sõiduk_tavaelektriratas_2025">'KHG eriheitetegurid'!$D$268</definedName>
    <definedName name="sõiduk_tavaelektriratas_2026">'KHG eriheitetegurid'!$D$269</definedName>
    <definedName name="sõiduk_tavaelektriratas_2027">'KHG eriheitetegurid'!$D$270</definedName>
    <definedName name="sõiduk_tavaelektriratas_2028">'KHG eriheitetegurid'!$D$271</definedName>
    <definedName name="sõiduk_tavajalgratas">'KHG eriheitetegurid'!$D$264</definedName>
    <definedName name="sõiduk_tramm">'KHG eriheitetegurid'!$D$263</definedName>
    <definedName name="transport_buss_2022">'KHG eriheitetegurid'!$D$322</definedName>
    <definedName name="transport_buss_2023">'KHG eriheitetegurid'!$D$323</definedName>
    <definedName name="transport_buss_2024">'KHG eriheitetegurid'!$D$324</definedName>
    <definedName name="transport_buss_2025">'KHG eriheitetegurid'!$D$325</definedName>
    <definedName name="transport_buss_2026">'KHG eriheitetegurid'!$D$326</definedName>
    <definedName name="transport_buss_2027">'KHG eriheitetegurid'!$D$327</definedName>
    <definedName name="transport_buss_2028">'KHG eriheitetegurid'!$D$328</definedName>
    <definedName name="transport_kaubik_bensiin_km_2022">'KHG eriheitetegurid'!$D$278</definedName>
    <definedName name="transport_kaubik_bensiin_km_2023">'KHG eriheitetegurid'!$D$279</definedName>
    <definedName name="transport_kaubik_bensiin_km_2024">'KHG eriheitetegurid'!$D$280</definedName>
    <definedName name="transport_kaubik_bensiin_km_2025">'KHG eriheitetegurid'!$D$281</definedName>
    <definedName name="transport_kaubik_bensiin_km_2026">'KHG eriheitetegurid'!$D$282</definedName>
    <definedName name="transport_kaubik_bensiin_km_2027">'KHG eriheitetegurid'!$D$283</definedName>
    <definedName name="transport_kaubik_bensiin_km_2028">'KHG eriheitetegurid'!$D$284</definedName>
    <definedName name="transport_kaubik_bensiin_tonnkm_2022">'KHG eriheitetegurid'!$D$285</definedName>
    <definedName name="transport_kaubik_bensiin_tonnkm_2023">'KHG eriheitetegurid'!$D$286</definedName>
    <definedName name="transport_kaubik_bensiin_tonnkm_2024">'KHG eriheitetegurid'!$D$287</definedName>
    <definedName name="transport_kaubik_bensiin_tonnkm_2025">'KHG eriheitetegurid'!$D$288</definedName>
    <definedName name="transport_kaubik_bensiin_tonnkm_2026">'KHG eriheitetegurid'!$D$289</definedName>
    <definedName name="transport_kaubik_bensiin_tonnkm_2027">'KHG eriheitetegurid'!$D$290</definedName>
    <definedName name="transport_kaubik_bensiin_tonnkm_2028">'KHG eriheitetegurid'!$D$291</definedName>
    <definedName name="transport_kaubik_diisel_km_2022">'KHG eriheitetegurid'!$D$292</definedName>
    <definedName name="transport_kaubik_diisel_km_2023">'KHG eriheitetegurid'!$D$293</definedName>
    <definedName name="transport_kaubik_diisel_km_2024">'KHG eriheitetegurid'!$D$294</definedName>
    <definedName name="transport_kaubik_diisel_km_2025">'KHG eriheitetegurid'!$D$295</definedName>
    <definedName name="transport_kaubik_diisel_km_2026">'KHG eriheitetegurid'!$D$296</definedName>
    <definedName name="transport_kaubik_diisel_km_2027">'KHG eriheitetegurid'!$D$297</definedName>
    <definedName name="transport_kaubik_diisel_km_2028">'KHG eriheitetegurid'!$D$298</definedName>
    <definedName name="transport_kaubik_diisel_tonnkm_2022">'KHG eriheitetegurid'!$D$299</definedName>
    <definedName name="transport_kaubik_diisel_tonnkm_2023">'KHG eriheitetegurid'!$D$300</definedName>
    <definedName name="transport_kaubik_diisel_tonnkm_2024">'KHG eriheitetegurid'!$D$301</definedName>
    <definedName name="transport_kaubik_diisel_tonnkm_2025">'KHG eriheitetegurid'!$D$302</definedName>
    <definedName name="transport_kaubik_diisel_tonnkm_2026">'KHG eriheitetegurid'!$D$303</definedName>
    <definedName name="transport_kaubik_diisel_tonnkm_2027">'KHG eriheitetegurid'!$D$304</definedName>
    <definedName name="transport_kaubik_diisel_tonnkm_2028">'KHG eriheitetegurid'!$D$305</definedName>
    <definedName name="transport_kaubik_taastuvelekter_km">'KHG eriheitetegurid'!$D$306</definedName>
    <definedName name="transport_kaubik_taastuvelekter_tonnkm">'KHG eriheitetegurid'!$D$307</definedName>
    <definedName name="transport_kaubik_tavaelekter_km_2022">'KHG eriheitetegurid'!$D$308</definedName>
    <definedName name="transport_kaubik_tavaelekter_km_2023">'KHG eriheitetegurid'!$D$309</definedName>
    <definedName name="transport_kaubik_tavaelekter_km_2024">'KHG eriheitetegurid'!$D$310</definedName>
    <definedName name="transport_kaubik_tavaelekter_km_2025">'KHG eriheitetegurid'!$D$311</definedName>
    <definedName name="transport_kaubik_tavaelekter_km_2026">'KHG eriheitetegurid'!$D$312</definedName>
    <definedName name="transport_kaubik_tavaelekter_km_2027">'KHG eriheitetegurid'!$D$313</definedName>
    <definedName name="transport_kaubik_tavaelekter_km_2028">'KHG eriheitetegurid'!$D$314</definedName>
    <definedName name="transport_kaubik_tavaelekter_tonnkm_2022">'KHG eriheitetegurid'!$D$315</definedName>
    <definedName name="transport_kaubik_tavaelekter_tonnkm_2023">'KHG eriheitetegurid'!$D$316</definedName>
    <definedName name="transport_kaubik_tavaelekter_tonnkm_2024">'KHG eriheitetegurid'!$D$317</definedName>
    <definedName name="transport_kaubik_tavaelekter_tonnkm_2025">'KHG eriheitetegurid'!$D$318</definedName>
    <definedName name="transport_kaubik_tavaelekter_tonnkm_2026">'KHG eriheitetegurid'!$D$319</definedName>
    <definedName name="transport_kaubik_tavaelekter_tonnkm_2027">'KHG eriheitetegurid'!$D$320</definedName>
    <definedName name="transport_kaubik_tavaelekter_tonnkm_2028">'KHG eriheitetegurid'!$D$321</definedName>
    <definedName name="transport_väikebuss_2022">'KHG eriheitetegurid'!$D$329</definedName>
    <definedName name="transport_väikebuss_2023">'KHG eriheitetegurid'!$D$330</definedName>
    <definedName name="transport_väikebuss_2024">'KHG eriheitetegurid'!$D$331</definedName>
    <definedName name="transport_väikebuss_2025">'KHG eriheitetegurid'!$D$332</definedName>
    <definedName name="transport_väikebuss_2026">'KHG eriheitetegurid'!$D$333</definedName>
    <definedName name="transport_väikebuss_2027">'KHG eriheitetegurid'!$D$334</definedName>
    <definedName name="transport_väikebuss_2028">'KHG eriheitetegurid'!$D$335</definedName>
    <definedName name="tualettpaber">'KHG eriheitetegurid'!$D$355</definedName>
    <definedName name="tööle_koju_jalgsi">'KHG eriheitetegurid'!$D$273</definedName>
    <definedName name="vesi_2022">'KHG eriheitetegurid'!$D$340</definedName>
    <definedName name="vesi_2023">'KHG eriheitetegurid'!$D$341</definedName>
    <definedName name="vesi_2024">'KHG eriheitetegurid'!$D$342</definedName>
    <definedName name="vesi_2025">'KHG eriheitetegurid'!$D$343</definedName>
    <definedName name="vesi_2026">'KHG eriheitetegurid'!$D$344</definedName>
    <definedName name="vesi_2027">'KHG eriheitetegurid'!$D$345</definedName>
    <definedName name="vesi_2028">'KHG eriheitetegurid'!$D$346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 l="1"/>
  <c r="D7" i="5"/>
  <c r="D6" i="5"/>
  <c r="P37" i="15" l="1"/>
  <c r="D37" i="15"/>
  <c r="D66" i="5"/>
  <c r="D58" i="5"/>
  <c r="D50" i="5"/>
  <c r="D42" i="5"/>
  <c r="D34" i="5"/>
  <c r="D26" i="5"/>
  <c r="D18" i="5"/>
  <c r="D32" i="5"/>
  <c r="D22" i="5"/>
  <c r="E175" i="28"/>
  <c r="E171" i="28"/>
  <c r="E149" i="28"/>
  <c r="E145" i="28"/>
  <c r="E123" i="28"/>
  <c r="E119" i="28"/>
  <c r="E97" i="28"/>
  <c r="E93" i="28"/>
  <c r="E71" i="28"/>
  <c r="E67" i="28"/>
  <c r="E45" i="28"/>
  <c r="E41" i="28"/>
  <c r="E146" i="25"/>
  <c r="E125" i="25"/>
  <c r="E104" i="25"/>
  <c r="E83" i="25"/>
  <c r="E62" i="25"/>
  <c r="E142" i="25"/>
  <c r="E121" i="25"/>
  <c r="E100" i="25"/>
  <c r="E79" i="25"/>
  <c r="E58" i="25"/>
  <c r="E37" i="25"/>
  <c r="D52" i="5" l="1"/>
  <c r="D72" i="5"/>
  <c r="D56" i="5"/>
  <c r="D64" i="5"/>
  <c r="D48" i="5"/>
  <c r="D40" i="5"/>
  <c r="D24" i="5"/>
  <c r="C38" i="19" s="1"/>
  <c r="D70" i="5"/>
  <c r="D62" i="5"/>
  <c r="D54" i="5"/>
  <c r="D44" i="5"/>
  <c r="F36" i="19" s="1"/>
  <c r="D46" i="5"/>
  <c r="D30" i="5"/>
  <c r="D38" i="19" s="1"/>
  <c r="D20" i="5"/>
  <c r="D38" i="5"/>
  <c r="D36" i="5"/>
  <c r="D60" i="5"/>
  <c r="D68" i="5"/>
  <c r="D28" i="5"/>
  <c r="O14" i="2"/>
  <c r="E38" i="19" l="1"/>
  <c r="F38" i="19"/>
  <c r="G38" i="19"/>
  <c r="H38" i="19"/>
  <c r="I38" i="19"/>
  <c r="D14" i="2"/>
  <c r="D15" i="2" s="1"/>
  <c r="P14" i="3"/>
  <c r="P15" i="3" s="1"/>
  <c r="D29" i="19" s="1"/>
  <c r="P12" i="3"/>
  <c r="P13" i="3" s="1"/>
  <c r="C29" i="19" s="1"/>
  <c r="O19" i="15"/>
  <c r="E12" i="28"/>
  <c r="P15" i="14"/>
  <c r="C20" i="19" s="1"/>
  <c r="P12" i="2"/>
  <c r="C10" i="19" s="1"/>
  <c r="E12" i="16"/>
  <c r="P17" i="14"/>
  <c r="P19" i="14"/>
  <c r="E14" i="8" s="1"/>
  <c r="E16" i="25"/>
  <c r="E15" i="28"/>
  <c r="E17" i="25"/>
  <c r="E16" i="28"/>
  <c r="E25" i="16"/>
  <c r="E26" i="16"/>
  <c r="E27" i="16"/>
  <c r="E28" i="16"/>
  <c r="E34" i="30"/>
  <c r="F34" i="30" s="1"/>
  <c r="E35" i="30"/>
  <c r="F35" i="30" s="1"/>
  <c r="E36" i="30"/>
  <c r="F36" i="30" s="1"/>
  <c r="E37" i="30"/>
  <c r="F37" i="30" s="1"/>
  <c r="E38" i="30"/>
  <c r="F38" i="30" s="1"/>
  <c r="E39" i="30"/>
  <c r="F39" i="30" s="1"/>
  <c r="E40" i="30"/>
  <c r="F40" i="30" s="1"/>
  <c r="E41" i="30"/>
  <c r="F41" i="30" s="1"/>
  <c r="E42" i="30"/>
  <c r="F42" i="30" s="1"/>
  <c r="E43" i="30"/>
  <c r="F43" i="30" s="1"/>
  <c r="E44" i="30"/>
  <c r="F44" i="30" s="1"/>
  <c r="E38" i="16"/>
  <c r="E39" i="16"/>
  <c r="E40" i="16"/>
  <c r="E41" i="16"/>
  <c r="E53" i="30"/>
  <c r="F53" i="30" s="1"/>
  <c r="E54" i="30"/>
  <c r="F54" i="30" s="1"/>
  <c r="E55" i="30"/>
  <c r="F55" i="30" s="1"/>
  <c r="E56" i="30"/>
  <c r="F56" i="30" s="1"/>
  <c r="E57" i="30"/>
  <c r="F57" i="30" s="1"/>
  <c r="E58" i="30"/>
  <c r="F58" i="30" s="1"/>
  <c r="E59" i="30"/>
  <c r="F59" i="30" s="1"/>
  <c r="E60" i="30"/>
  <c r="F60" i="30" s="1"/>
  <c r="E61" i="30"/>
  <c r="F61" i="30" s="1"/>
  <c r="E62" i="30"/>
  <c r="F62" i="30" s="1"/>
  <c r="E63" i="30"/>
  <c r="F63" i="30" s="1"/>
  <c r="E51" i="16"/>
  <c r="E52" i="16"/>
  <c r="E53" i="16"/>
  <c r="E54" i="16"/>
  <c r="E72" i="30"/>
  <c r="F72" i="30" s="1"/>
  <c r="E73" i="30"/>
  <c r="F73" i="30" s="1"/>
  <c r="E74" i="30"/>
  <c r="F74" i="30" s="1"/>
  <c r="E75" i="30"/>
  <c r="F75" i="30" s="1"/>
  <c r="E76" i="30"/>
  <c r="F76" i="30" s="1"/>
  <c r="E77" i="30"/>
  <c r="F77" i="30" s="1"/>
  <c r="E78" i="30"/>
  <c r="F78" i="30" s="1"/>
  <c r="E79" i="30"/>
  <c r="F79" i="30" s="1"/>
  <c r="E80" i="30"/>
  <c r="F80" i="30" s="1"/>
  <c r="E81" i="30"/>
  <c r="F81" i="30" s="1"/>
  <c r="E82" i="30"/>
  <c r="F82" i="30" s="1"/>
  <c r="E64" i="16"/>
  <c r="E65" i="16"/>
  <c r="E66" i="16"/>
  <c r="E67" i="16"/>
  <c r="E91" i="30"/>
  <c r="F91" i="30" s="1"/>
  <c r="E92" i="30"/>
  <c r="F92" i="30" s="1"/>
  <c r="E93" i="30"/>
  <c r="F93" i="30" s="1"/>
  <c r="E94" i="30"/>
  <c r="F94" i="30" s="1"/>
  <c r="E95" i="30"/>
  <c r="F95" i="30" s="1"/>
  <c r="E96" i="30"/>
  <c r="F96" i="30" s="1"/>
  <c r="E97" i="30"/>
  <c r="F97" i="30" s="1"/>
  <c r="E98" i="30"/>
  <c r="F98" i="30" s="1"/>
  <c r="E99" i="30"/>
  <c r="F99" i="30" s="1"/>
  <c r="E100" i="30"/>
  <c r="F100" i="30" s="1"/>
  <c r="E101" i="30"/>
  <c r="F101" i="30" s="1"/>
  <c r="E77" i="16"/>
  <c r="E78" i="16"/>
  <c r="E79" i="16"/>
  <c r="E80" i="16"/>
  <c r="E110" i="30"/>
  <c r="F110" i="30" s="1"/>
  <c r="E111" i="30"/>
  <c r="F111" i="30" s="1"/>
  <c r="E112" i="30"/>
  <c r="F112" i="30" s="1"/>
  <c r="E113" i="30"/>
  <c r="F113" i="30" s="1"/>
  <c r="E114" i="30"/>
  <c r="F114" i="30" s="1"/>
  <c r="E115" i="30"/>
  <c r="F115" i="30" s="1"/>
  <c r="E116" i="30"/>
  <c r="F116" i="30" s="1"/>
  <c r="E117" i="30"/>
  <c r="F117" i="30" s="1"/>
  <c r="E118" i="30"/>
  <c r="F118" i="30" s="1"/>
  <c r="E119" i="30"/>
  <c r="F119" i="30" s="1"/>
  <c r="E120" i="30"/>
  <c r="F120" i="30" s="1"/>
  <c r="E90" i="16"/>
  <c r="E91" i="16"/>
  <c r="E92" i="16"/>
  <c r="E93" i="16"/>
  <c r="E129" i="30"/>
  <c r="F129" i="30" s="1"/>
  <c r="E130" i="30"/>
  <c r="F130" i="30" s="1"/>
  <c r="E131" i="30"/>
  <c r="F131" i="30" s="1"/>
  <c r="E132" i="30"/>
  <c r="F132" i="30" s="1"/>
  <c r="E133" i="30"/>
  <c r="F133" i="30" s="1"/>
  <c r="E134" i="30"/>
  <c r="F134" i="30" s="1"/>
  <c r="E135" i="30"/>
  <c r="F135" i="30" s="1"/>
  <c r="E136" i="30"/>
  <c r="F136" i="30" s="1"/>
  <c r="E137" i="30"/>
  <c r="F137" i="30" s="1"/>
  <c r="E138" i="30"/>
  <c r="F138" i="30" s="1"/>
  <c r="E139" i="30"/>
  <c r="F139" i="30" s="1"/>
  <c r="E13" i="16"/>
  <c r="E14" i="16"/>
  <c r="E15" i="16"/>
  <c r="E15" i="30"/>
  <c r="F15" i="30" s="1"/>
  <c r="E16" i="30"/>
  <c r="F16" i="30" s="1"/>
  <c r="E17" i="30"/>
  <c r="F17" i="30" s="1"/>
  <c r="E18" i="30"/>
  <c r="F18" i="30" s="1"/>
  <c r="E19" i="30"/>
  <c r="F19" i="30" s="1"/>
  <c r="E20" i="30"/>
  <c r="F20" i="30" s="1"/>
  <c r="E21" i="30"/>
  <c r="F21" i="30" s="1"/>
  <c r="E22" i="30"/>
  <c r="F22" i="30" s="1"/>
  <c r="E23" i="30"/>
  <c r="F23" i="30" s="1"/>
  <c r="E24" i="30"/>
  <c r="F24" i="30" s="1"/>
  <c r="E25" i="30"/>
  <c r="F25" i="30" s="1"/>
  <c r="P24" i="3"/>
  <c r="P25" i="3" s="1"/>
  <c r="I29" i="19" s="1"/>
  <c r="P22" i="3"/>
  <c r="P23" i="3" s="1"/>
  <c r="H29" i="19" s="1"/>
  <c r="P20" i="3"/>
  <c r="P21" i="3" s="1"/>
  <c r="G29" i="19" s="1"/>
  <c r="P18" i="3"/>
  <c r="P19" i="3" s="1"/>
  <c r="F29" i="19" s="1"/>
  <c r="P16" i="3"/>
  <c r="E23" i="8" s="1"/>
  <c r="H22" i="27"/>
  <c r="H38" i="27"/>
  <c r="H54" i="27"/>
  <c r="H70" i="27"/>
  <c r="H86" i="27"/>
  <c r="H102" i="27"/>
  <c r="H118" i="27"/>
  <c r="D44" i="2"/>
  <c r="D45" i="2" s="1"/>
  <c r="E44" i="2"/>
  <c r="E45" i="2" s="1"/>
  <c r="F44" i="2"/>
  <c r="G44" i="2"/>
  <c r="G45" i="2" s="1"/>
  <c r="H44" i="2"/>
  <c r="H45" i="2" s="1"/>
  <c r="I44" i="2"/>
  <c r="I45" i="2" s="1"/>
  <c r="J44" i="2"/>
  <c r="K44" i="2"/>
  <c r="K45" i="2" s="1"/>
  <c r="L44" i="2"/>
  <c r="L45" i="2" s="1"/>
  <c r="M44" i="2"/>
  <c r="M45" i="2" s="1"/>
  <c r="N44" i="2"/>
  <c r="N45" i="2" s="1"/>
  <c r="O44" i="2"/>
  <c r="O45" i="2" s="1"/>
  <c r="D39" i="2"/>
  <c r="E39" i="2"/>
  <c r="E40" i="2" s="1"/>
  <c r="F39" i="2"/>
  <c r="G39" i="2"/>
  <c r="G40" i="2" s="1"/>
  <c r="H39" i="2"/>
  <c r="H40" i="2" s="1"/>
  <c r="I39" i="2"/>
  <c r="I40" i="2" s="1"/>
  <c r="J39" i="2"/>
  <c r="J40" i="2" s="1"/>
  <c r="K39" i="2"/>
  <c r="K40" i="2" s="1"/>
  <c r="L39" i="2"/>
  <c r="L40" i="2" s="1"/>
  <c r="M39" i="2"/>
  <c r="M40" i="2" s="1"/>
  <c r="N39" i="2"/>
  <c r="N40" i="2" s="1"/>
  <c r="O39" i="2"/>
  <c r="O40" i="2" s="1"/>
  <c r="D34" i="2"/>
  <c r="D35" i="2" s="1"/>
  <c r="E34" i="2"/>
  <c r="E35" i="2" s="1"/>
  <c r="F34" i="2"/>
  <c r="F35" i="2" s="1"/>
  <c r="G34" i="2"/>
  <c r="G35" i="2" s="1"/>
  <c r="H34" i="2"/>
  <c r="H35" i="2" s="1"/>
  <c r="I34" i="2"/>
  <c r="I35" i="2" s="1"/>
  <c r="J34" i="2"/>
  <c r="K34" i="2"/>
  <c r="K35" i="2" s="1"/>
  <c r="L34" i="2"/>
  <c r="L35" i="2" s="1"/>
  <c r="M34" i="2"/>
  <c r="M35" i="2" s="1"/>
  <c r="N34" i="2"/>
  <c r="N35" i="2" s="1"/>
  <c r="O34" i="2"/>
  <c r="O35" i="2" s="1"/>
  <c r="D29" i="2"/>
  <c r="D30" i="2" s="1"/>
  <c r="E29" i="2"/>
  <c r="E30" i="2" s="1"/>
  <c r="F29" i="2"/>
  <c r="G29" i="2"/>
  <c r="G30" i="2" s="1"/>
  <c r="H29" i="2"/>
  <c r="H30" i="2" s="1"/>
  <c r="I29" i="2"/>
  <c r="I30" i="2" s="1"/>
  <c r="J29" i="2"/>
  <c r="J30" i="2" s="1"/>
  <c r="K29" i="2"/>
  <c r="L29" i="2"/>
  <c r="M29" i="2"/>
  <c r="M30" i="2" s="1"/>
  <c r="N29" i="2"/>
  <c r="N30" i="2" s="1"/>
  <c r="O29" i="2"/>
  <c r="O30" i="2" s="1"/>
  <c r="D24" i="2"/>
  <c r="E24" i="2"/>
  <c r="E25" i="2" s="1"/>
  <c r="F24" i="2"/>
  <c r="F25" i="2" s="1"/>
  <c r="G24" i="2"/>
  <c r="G25" i="2" s="1"/>
  <c r="H24" i="2"/>
  <c r="H25" i="2" s="1"/>
  <c r="I24" i="2"/>
  <c r="I25" i="2" s="1"/>
  <c r="J24" i="2"/>
  <c r="K24" i="2"/>
  <c r="K25" i="2" s="1"/>
  <c r="L24" i="2"/>
  <c r="L25" i="2" s="1"/>
  <c r="M24" i="2"/>
  <c r="M25" i="2" s="1"/>
  <c r="N24" i="2"/>
  <c r="N25" i="2" s="1"/>
  <c r="O24" i="2"/>
  <c r="O25" i="2" s="1"/>
  <c r="D19" i="2"/>
  <c r="E19" i="2"/>
  <c r="E20" i="2" s="1"/>
  <c r="F19" i="2"/>
  <c r="G19" i="2"/>
  <c r="G20" i="2" s="1"/>
  <c r="H19" i="2"/>
  <c r="H20" i="2" s="1"/>
  <c r="I19" i="2"/>
  <c r="I20" i="2" s="1"/>
  <c r="J19" i="2"/>
  <c r="J20" i="2" s="1"/>
  <c r="K19" i="2"/>
  <c r="K20" i="2" s="1"/>
  <c r="L19" i="2"/>
  <c r="L20" i="2" s="1"/>
  <c r="M19" i="2"/>
  <c r="M20" i="2" s="1"/>
  <c r="N19" i="2"/>
  <c r="N20" i="2" s="1"/>
  <c r="O19" i="2"/>
  <c r="O20" i="2" s="1"/>
  <c r="E14" i="2"/>
  <c r="E15" i="2" s="1"/>
  <c r="F14" i="2"/>
  <c r="F15" i="2" s="1"/>
  <c r="G14" i="2"/>
  <c r="H14" i="2"/>
  <c r="H15" i="2" s="1"/>
  <c r="I14" i="2"/>
  <c r="I15" i="2" s="1"/>
  <c r="J14" i="2"/>
  <c r="K14" i="2"/>
  <c r="L14" i="2"/>
  <c r="L15" i="2" s="1"/>
  <c r="M14" i="2"/>
  <c r="M15" i="2" s="1"/>
  <c r="N14" i="2"/>
  <c r="N15" i="2" s="1"/>
  <c r="P17" i="2"/>
  <c r="D13" i="8" s="1"/>
  <c r="F37" i="27"/>
  <c r="H37" i="27"/>
  <c r="F118" i="27"/>
  <c r="F102" i="27"/>
  <c r="F86" i="27"/>
  <c r="F70" i="27"/>
  <c r="F54" i="27"/>
  <c r="F38" i="27"/>
  <c r="H117" i="27"/>
  <c r="H101" i="27"/>
  <c r="H85" i="27"/>
  <c r="H69" i="27"/>
  <c r="H53" i="27"/>
  <c r="D305" i="17"/>
  <c r="D304" i="17"/>
  <c r="J97" i="27" s="1"/>
  <c r="D303" i="17"/>
  <c r="J81" i="27" s="1"/>
  <c r="D302" i="17"/>
  <c r="J65" i="27" s="1"/>
  <c r="D301" i="17"/>
  <c r="J49" i="27" s="1"/>
  <c r="D300" i="17"/>
  <c r="J33" i="27" s="1"/>
  <c r="D291" i="17"/>
  <c r="D290" i="17"/>
  <c r="J96" i="27" s="1"/>
  <c r="D289" i="17"/>
  <c r="J80" i="27" s="1"/>
  <c r="D288" i="17"/>
  <c r="J64" i="27" s="1"/>
  <c r="D287" i="17"/>
  <c r="J48" i="27" s="1"/>
  <c r="D286" i="17"/>
  <c r="J32" i="27" s="1"/>
  <c r="D271" i="17"/>
  <c r="E186" i="28" s="1"/>
  <c r="D270" i="17"/>
  <c r="E160" i="28" s="1"/>
  <c r="D269" i="17"/>
  <c r="E134" i="28" s="1"/>
  <c r="D268" i="17"/>
  <c r="E108" i="28" s="1"/>
  <c r="D267" i="17"/>
  <c r="E82" i="28" s="1"/>
  <c r="D266" i="17"/>
  <c r="E56" i="28" s="1"/>
  <c r="D265" i="17"/>
  <c r="E30" i="28" s="1"/>
  <c r="D205" i="17"/>
  <c r="E174" i="28" s="1"/>
  <c r="D204" i="17"/>
  <c r="E148" i="28" s="1"/>
  <c r="D203" i="17"/>
  <c r="E122" i="28" s="1"/>
  <c r="D202" i="17"/>
  <c r="E96" i="28" s="1"/>
  <c r="D201" i="17"/>
  <c r="E70" i="28" s="1"/>
  <c r="D200" i="17"/>
  <c r="E44" i="28" s="1"/>
  <c r="D199" i="17"/>
  <c r="E18" i="28" s="1"/>
  <c r="D140" i="17"/>
  <c r="D139" i="17"/>
  <c r="D138" i="17"/>
  <c r="D137" i="17"/>
  <c r="D136" i="17"/>
  <c r="D135" i="17"/>
  <c r="D134" i="17"/>
  <c r="D314" i="17"/>
  <c r="D321" i="17" s="1"/>
  <c r="J115" i="27" s="1"/>
  <c r="D313" i="17"/>
  <c r="D320" i="17" s="1"/>
  <c r="J99" i="27" s="1"/>
  <c r="D312" i="17"/>
  <c r="H83" i="27" s="1"/>
  <c r="D311" i="17"/>
  <c r="D318" i="17" s="1"/>
  <c r="J67" i="27" s="1"/>
  <c r="D310" i="17"/>
  <c r="D317" i="17" s="1"/>
  <c r="J51" i="27" s="1"/>
  <c r="D309" i="17"/>
  <c r="H35" i="27" s="1"/>
  <c r="D308" i="17"/>
  <c r="D315" i="17" s="1"/>
  <c r="J19" i="27" s="1"/>
  <c r="J113" i="27"/>
  <c r="D299" i="17"/>
  <c r="J17" i="27" s="1"/>
  <c r="H113" i="27"/>
  <c r="H97" i="27"/>
  <c r="H81" i="27"/>
  <c r="H65" i="27"/>
  <c r="H49" i="27"/>
  <c r="H33" i="27"/>
  <c r="J112" i="27"/>
  <c r="D285" i="17"/>
  <c r="J16" i="27" s="1"/>
  <c r="H112" i="27"/>
  <c r="H96" i="27"/>
  <c r="H80" i="27"/>
  <c r="H64" i="27"/>
  <c r="H48" i="27"/>
  <c r="H32" i="27"/>
  <c r="E152" i="25"/>
  <c r="E131" i="25"/>
  <c r="E110" i="25"/>
  <c r="E89" i="25"/>
  <c r="E68" i="25"/>
  <c r="E47" i="25"/>
  <c r="E67" i="25"/>
  <c r="E88" i="25"/>
  <c r="E109" i="25"/>
  <c r="E151" i="25"/>
  <c r="E130" i="25"/>
  <c r="E46" i="25"/>
  <c r="E181" i="28"/>
  <c r="E155" i="28"/>
  <c r="E129" i="28"/>
  <c r="E103" i="28"/>
  <c r="E77" i="28"/>
  <c r="E51" i="28"/>
  <c r="E149" i="25"/>
  <c r="E128" i="25"/>
  <c r="E107" i="25"/>
  <c r="E86" i="25"/>
  <c r="E65" i="25"/>
  <c r="E44" i="25"/>
  <c r="E179" i="28"/>
  <c r="E153" i="28"/>
  <c r="E127" i="28"/>
  <c r="E101" i="28"/>
  <c r="E75" i="28"/>
  <c r="E49" i="28"/>
  <c r="E177" i="28"/>
  <c r="E151" i="28"/>
  <c r="E125" i="28"/>
  <c r="E99" i="28"/>
  <c r="E73" i="28"/>
  <c r="E47" i="28"/>
  <c r="E178" i="28"/>
  <c r="E152" i="28"/>
  <c r="E126" i="28"/>
  <c r="E100" i="28"/>
  <c r="E74" i="28"/>
  <c r="E48" i="28"/>
  <c r="E148" i="25"/>
  <c r="E127" i="25"/>
  <c r="E106" i="25"/>
  <c r="E85" i="25"/>
  <c r="E64" i="25"/>
  <c r="E43" i="25"/>
  <c r="E41" i="25"/>
  <c r="E145" i="25"/>
  <c r="E172" i="28"/>
  <c r="E146" i="28"/>
  <c r="E120" i="28"/>
  <c r="E94" i="28"/>
  <c r="E68" i="28"/>
  <c r="E42" i="28"/>
  <c r="E143" i="25"/>
  <c r="E122" i="25"/>
  <c r="E101" i="25"/>
  <c r="E80" i="25"/>
  <c r="E59" i="25"/>
  <c r="E38" i="25"/>
  <c r="E170" i="28"/>
  <c r="E144" i="28"/>
  <c r="E118" i="28"/>
  <c r="E92" i="28"/>
  <c r="E66" i="28"/>
  <c r="E40" i="28"/>
  <c r="E141" i="25"/>
  <c r="E120" i="25"/>
  <c r="E99" i="25"/>
  <c r="E78" i="25"/>
  <c r="E57" i="25"/>
  <c r="E36" i="25"/>
  <c r="E169" i="28"/>
  <c r="E143" i="28"/>
  <c r="E117" i="28"/>
  <c r="E91" i="28"/>
  <c r="E65" i="28"/>
  <c r="E39" i="28"/>
  <c r="E140" i="25"/>
  <c r="E119" i="25"/>
  <c r="E98" i="25"/>
  <c r="E77" i="25"/>
  <c r="E56" i="25"/>
  <c r="E35" i="25"/>
  <c r="E168" i="28"/>
  <c r="E142" i="28"/>
  <c r="E116" i="28"/>
  <c r="E90" i="28"/>
  <c r="E64" i="28"/>
  <c r="E38" i="28"/>
  <c r="E139" i="25"/>
  <c r="E118" i="25"/>
  <c r="E97" i="25"/>
  <c r="E76" i="25"/>
  <c r="E55" i="25"/>
  <c r="E34" i="25"/>
  <c r="F115" i="27"/>
  <c r="F99" i="27"/>
  <c r="F83" i="27"/>
  <c r="F67" i="27"/>
  <c r="F51" i="27"/>
  <c r="F35" i="27"/>
  <c r="E95" i="16"/>
  <c r="E82" i="16"/>
  <c r="E69" i="16"/>
  <c r="E56" i="16"/>
  <c r="E43" i="16"/>
  <c r="E30" i="16"/>
  <c r="F113" i="27"/>
  <c r="F97" i="27"/>
  <c r="F81" i="27"/>
  <c r="F65" i="27"/>
  <c r="F49" i="27"/>
  <c r="F33" i="27"/>
  <c r="F117" i="27"/>
  <c r="F101" i="27"/>
  <c r="F85" i="27"/>
  <c r="F69" i="27"/>
  <c r="F53" i="27"/>
  <c r="F112" i="27"/>
  <c r="F96" i="27"/>
  <c r="F80" i="27"/>
  <c r="F64" i="27"/>
  <c r="F48" i="27"/>
  <c r="F32" i="27"/>
  <c r="P27" i="14"/>
  <c r="I14" i="8" s="1"/>
  <c r="R25" i="14"/>
  <c r="R23" i="14"/>
  <c r="R21" i="14"/>
  <c r="R19" i="14"/>
  <c r="R17" i="14"/>
  <c r="E21" i="28"/>
  <c r="E22" i="28"/>
  <c r="E13" i="28"/>
  <c r="E14" i="28"/>
  <c r="E17" i="28"/>
  <c r="E19" i="28"/>
  <c r="E23" i="28"/>
  <c r="E24" i="28"/>
  <c r="E25" i="28"/>
  <c r="E26" i="28"/>
  <c r="E28" i="28"/>
  <c r="E29" i="28"/>
  <c r="E31" i="28"/>
  <c r="P182" i="15"/>
  <c r="P155" i="15"/>
  <c r="D133" i="15"/>
  <c r="D130" i="15"/>
  <c r="P128" i="15"/>
  <c r="P101" i="15"/>
  <c r="P74" i="15"/>
  <c r="P47" i="15"/>
  <c r="G6" i="15"/>
  <c r="D79" i="15" s="1"/>
  <c r="G5" i="15"/>
  <c r="D184" i="15" s="1"/>
  <c r="G7" i="15"/>
  <c r="D136" i="15" s="1"/>
  <c r="G4" i="15"/>
  <c r="D46" i="15" s="1"/>
  <c r="E49" i="15"/>
  <c r="E46" i="15"/>
  <c r="F49" i="15"/>
  <c r="G49" i="15"/>
  <c r="G46" i="15"/>
  <c r="H49" i="15"/>
  <c r="I49" i="15"/>
  <c r="I46" i="15"/>
  <c r="J49" i="15"/>
  <c r="J46" i="15"/>
  <c r="K49" i="15"/>
  <c r="K46" i="15"/>
  <c r="L49" i="15"/>
  <c r="L46" i="15"/>
  <c r="M49" i="15"/>
  <c r="M46" i="15"/>
  <c r="N49" i="15"/>
  <c r="N55" i="15"/>
  <c r="N46" i="15"/>
  <c r="O49" i="15"/>
  <c r="O46" i="15"/>
  <c r="D181" i="15"/>
  <c r="E184" i="15"/>
  <c r="E181" i="15"/>
  <c r="P181" i="15" s="1"/>
  <c r="I46" i="19" s="1"/>
  <c r="F184" i="15"/>
  <c r="F181" i="15"/>
  <c r="G184" i="15"/>
  <c r="G181" i="15"/>
  <c r="H184" i="15"/>
  <c r="H190" i="15"/>
  <c r="H181" i="15"/>
  <c r="I184" i="15"/>
  <c r="I181" i="15"/>
  <c r="J184" i="15"/>
  <c r="J190" i="15"/>
  <c r="J181" i="15"/>
  <c r="K184" i="15"/>
  <c r="K181" i="15"/>
  <c r="L184" i="15"/>
  <c r="L181" i="15"/>
  <c r="M184" i="15"/>
  <c r="M181" i="15"/>
  <c r="N184" i="15"/>
  <c r="N181" i="15"/>
  <c r="O184" i="15"/>
  <c r="O181" i="15"/>
  <c r="D154" i="15"/>
  <c r="E160" i="15"/>
  <c r="E157" i="15"/>
  <c r="E154" i="15"/>
  <c r="P154" i="15" s="1"/>
  <c r="H46" i="19" s="1"/>
  <c r="F157" i="15"/>
  <c r="F154" i="15"/>
  <c r="G160" i="15"/>
  <c r="G157" i="15"/>
  <c r="G154" i="15"/>
  <c r="H157" i="15"/>
  <c r="H154" i="15"/>
  <c r="I160" i="15"/>
  <c r="I157" i="15"/>
  <c r="I163" i="15"/>
  <c r="I154" i="15"/>
  <c r="J157" i="15"/>
  <c r="J154" i="15"/>
  <c r="K157" i="15"/>
  <c r="K163" i="15"/>
  <c r="K154" i="15"/>
  <c r="L157" i="15"/>
  <c r="L154" i="15"/>
  <c r="M160" i="15"/>
  <c r="M157" i="15"/>
  <c r="M154" i="15"/>
  <c r="N157" i="15"/>
  <c r="N163" i="15"/>
  <c r="N154" i="15"/>
  <c r="O160" i="15"/>
  <c r="O157" i="15"/>
  <c r="O154" i="15"/>
  <c r="D127" i="15"/>
  <c r="E130" i="15"/>
  <c r="E136" i="15"/>
  <c r="E127" i="15"/>
  <c r="F130" i="15"/>
  <c r="F127" i="15"/>
  <c r="G130" i="15"/>
  <c r="G136" i="15"/>
  <c r="G127" i="15"/>
  <c r="H130" i="15"/>
  <c r="H127" i="15"/>
  <c r="I130" i="15"/>
  <c r="I127" i="15"/>
  <c r="J130" i="15"/>
  <c r="J127" i="15"/>
  <c r="K130" i="15"/>
  <c r="K127" i="15"/>
  <c r="L130" i="15"/>
  <c r="L127" i="15"/>
  <c r="M130" i="15"/>
  <c r="M136" i="15"/>
  <c r="M127" i="15"/>
  <c r="N130" i="15"/>
  <c r="N127" i="15"/>
  <c r="O130" i="15"/>
  <c r="O136" i="15"/>
  <c r="O127" i="15"/>
  <c r="D100" i="15"/>
  <c r="E103" i="15"/>
  <c r="E100" i="15"/>
  <c r="F103" i="15"/>
  <c r="F100" i="15"/>
  <c r="G103" i="15"/>
  <c r="G109" i="15"/>
  <c r="G100" i="15"/>
  <c r="H106" i="15"/>
  <c r="H103" i="15"/>
  <c r="H100" i="15"/>
  <c r="I103" i="15"/>
  <c r="I100" i="15"/>
  <c r="J106" i="15"/>
  <c r="J103" i="15"/>
  <c r="J100" i="15"/>
  <c r="K103" i="15"/>
  <c r="K109" i="15"/>
  <c r="K100" i="15"/>
  <c r="L106" i="15"/>
  <c r="L103" i="15"/>
  <c r="L100" i="15"/>
  <c r="M103" i="15"/>
  <c r="M100" i="15"/>
  <c r="N103" i="15"/>
  <c r="N109" i="15"/>
  <c r="N100" i="15"/>
  <c r="O103" i="15"/>
  <c r="O100" i="15"/>
  <c r="D73" i="15"/>
  <c r="E76" i="15"/>
  <c r="E73" i="15"/>
  <c r="F76" i="15"/>
  <c r="F73" i="15"/>
  <c r="G76" i="15"/>
  <c r="G73" i="15"/>
  <c r="H76" i="15"/>
  <c r="H82" i="15"/>
  <c r="H73" i="15"/>
  <c r="I76" i="15"/>
  <c r="I73" i="15"/>
  <c r="J76" i="15"/>
  <c r="J82" i="15"/>
  <c r="J73" i="15"/>
  <c r="K76" i="15"/>
  <c r="K73" i="15"/>
  <c r="L76" i="15"/>
  <c r="L73" i="15"/>
  <c r="M76" i="15"/>
  <c r="M73" i="15"/>
  <c r="N76" i="15"/>
  <c r="N73" i="15"/>
  <c r="O76" i="15"/>
  <c r="O73" i="15"/>
  <c r="D22" i="15"/>
  <c r="D28" i="15"/>
  <c r="D19" i="15"/>
  <c r="G8" i="15"/>
  <c r="I62" i="15" s="1"/>
  <c r="J59" i="15"/>
  <c r="O62" i="15"/>
  <c r="P50" i="15"/>
  <c r="P53" i="15"/>
  <c r="P56" i="15"/>
  <c r="P60" i="15"/>
  <c r="P63" i="15"/>
  <c r="P198" i="15"/>
  <c r="P171" i="15"/>
  <c r="P144" i="15"/>
  <c r="P117" i="15"/>
  <c r="P90" i="15"/>
  <c r="P195" i="15"/>
  <c r="P168" i="15"/>
  <c r="P141" i="15"/>
  <c r="P114" i="15"/>
  <c r="P87" i="15"/>
  <c r="P191" i="15"/>
  <c r="P164" i="15"/>
  <c r="P137" i="15"/>
  <c r="P110" i="15"/>
  <c r="P83" i="15"/>
  <c r="P188" i="15"/>
  <c r="P161" i="15"/>
  <c r="P134" i="15"/>
  <c r="P107" i="15"/>
  <c r="P80" i="15"/>
  <c r="P185" i="15"/>
  <c r="P158" i="15"/>
  <c r="P131" i="15"/>
  <c r="P104" i="15"/>
  <c r="P77" i="15"/>
  <c r="F35" i="15"/>
  <c r="G32" i="15"/>
  <c r="I32" i="15"/>
  <c r="L35" i="15"/>
  <c r="N35" i="15"/>
  <c r="O32" i="15"/>
  <c r="E22" i="15"/>
  <c r="E19" i="15"/>
  <c r="F25" i="15"/>
  <c r="F22" i="15"/>
  <c r="F19" i="15"/>
  <c r="G22" i="15"/>
  <c r="G19" i="15"/>
  <c r="H22" i="15"/>
  <c r="H19" i="15"/>
  <c r="I22" i="15"/>
  <c r="I19" i="15"/>
  <c r="J22" i="15"/>
  <c r="J19" i="15"/>
  <c r="K22" i="15"/>
  <c r="K28" i="15"/>
  <c r="K19" i="15"/>
  <c r="L25" i="15"/>
  <c r="L22" i="15"/>
  <c r="L19" i="15"/>
  <c r="M22" i="15"/>
  <c r="M19" i="15"/>
  <c r="N25" i="15"/>
  <c r="N22" i="15"/>
  <c r="N28" i="15"/>
  <c r="N19" i="15"/>
  <c r="O22" i="15"/>
  <c r="O28" i="15"/>
  <c r="P18" i="15"/>
  <c r="P36" i="15"/>
  <c r="P33" i="15"/>
  <c r="P29" i="15"/>
  <c r="P26" i="15"/>
  <c r="P23" i="15"/>
  <c r="P20" i="15"/>
  <c r="E184" i="28"/>
  <c r="E158" i="28"/>
  <c r="E132" i="28"/>
  <c r="E106" i="28"/>
  <c r="E80" i="28"/>
  <c r="E54" i="28"/>
  <c r="E187" i="28"/>
  <c r="E161" i="28"/>
  <c r="E135" i="28"/>
  <c r="E109" i="28"/>
  <c r="E83" i="28"/>
  <c r="E57" i="28"/>
  <c r="E185" i="28"/>
  <c r="E159" i="28"/>
  <c r="E133" i="28"/>
  <c r="E107" i="28"/>
  <c r="E81" i="28"/>
  <c r="E55" i="28"/>
  <c r="F134" i="17"/>
  <c r="R15" i="14"/>
  <c r="P43" i="2"/>
  <c r="P38" i="2"/>
  <c r="P33" i="2"/>
  <c r="P28" i="2"/>
  <c r="P23" i="2"/>
  <c r="P18" i="2"/>
  <c r="P13" i="2"/>
  <c r="B89" i="16"/>
  <c r="E94" i="16"/>
  <c r="B76" i="16"/>
  <c r="E81" i="16"/>
  <c r="B63" i="16"/>
  <c r="B50" i="16"/>
  <c r="B37" i="16"/>
  <c r="B24" i="16"/>
  <c r="E68" i="16"/>
  <c r="E55" i="16"/>
  <c r="E42" i="16"/>
  <c r="E29" i="16"/>
  <c r="E17" i="16"/>
  <c r="E16" i="16"/>
  <c r="E19" i="16" s="1"/>
  <c r="C15" i="8" s="1"/>
  <c r="K30" i="2"/>
  <c r="K15" i="2"/>
  <c r="J15" i="2"/>
  <c r="J45" i="2"/>
  <c r="J35" i="2"/>
  <c r="F30" i="2"/>
  <c r="F45" i="2"/>
  <c r="J25" i="2"/>
  <c r="L30" i="2"/>
  <c r="G15" i="2"/>
  <c r="D40" i="2"/>
  <c r="D20" i="2"/>
  <c r="B167" i="28"/>
  <c r="B141" i="28"/>
  <c r="B115" i="28"/>
  <c r="B89" i="28"/>
  <c r="B63" i="28"/>
  <c r="B37" i="28"/>
  <c r="E182" i="28"/>
  <c r="E180" i="28"/>
  <c r="E173" i="28"/>
  <c r="E156" i="28"/>
  <c r="E154" i="28"/>
  <c r="E147" i="28"/>
  <c r="E130" i="28"/>
  <c r="E128" i="28"/>
  <c r="E121" i="28"/>
  <c r="E104" i="28"/>
  <c r="E102" i="28"/>
  <c r="E95" i="28"/>
  <c r="E78" i="28"/>
  <c r="E76" i="28"/>
  <c r="E69" i="28"/>
  <c r="E52" i="28"/>
  <c r="E50" i="28"/>
  <c r="E43" i="28"/>
  <c r="E150" i="25"/>
  <c r="E129" i="25"/>
  <c r="E108" i="25"/>
  <c r="E87" i="25"/>
  <c r="E66" i="25"/>
  <c r="E45" i="25"/>
  <c r="E26" i="25"/>
  <c r="E25" i="25"/>
  <c r="E24" i="25"/>
  <c r="E23" i="25"/>
  <c r="E22" i="25"/>
  <c r="E20" i="25"/>
  <c r="E144" i="25"/>
  <c r="E123" i="25"/>
  <c r="E102" i="25"/>
  <c r="E81" i="25"/>
  <c r="E60" i="25"/>
  <c r="E39" i="25"/>
  <c r="E18" i="25"/>
  <c r="E15" i="25"/>
  <c r="E14" i="25"/>
  <c r="J114" i="27"/>
  <c r="J98" i="27"/>
  <c r="J82" i="27"/>
  <c r="J66" i="27"/>
  <c r="J50" i="27"/>
  <c r="J34" i="27"/>
  <c r="H114" i="27"/>
  <c r="H98" i="27"/>
  <c r="H82" i="27"/>
  <c r="H66" i="27"/>
  <c r="H50" i="27"/>
  <c r="H34" i="27"/>
  <c r="F114" i="27"/>
  <c r="F98" i="27"/>
  <c r="F82" i="27"/>
  <c r="F66" i="27"/>
  <c r="F50" i="27"/>
  <c r="F34" i="27"/>
  <c r="H21" i="27"/>
  <c r="F22" i="27"/>
  <c r="F21" i="27"/>
  <c r="J18" i="27"/>
  <c r="H18" i="27"/>
  <c r="H17" i="27"/>
  <c r="H16" i="27"/>
  <c r="F19" i="27"/>
  <c r="F18" i="27"/>
  <c r="F17" i="27"/>
  <c r="F16" i="27"/>
  <c r="E13" i="25"/>
  <c r="D16" i="14"/>
  <c r="P16" i="14" s="1"/>
  <c r="C21" i="19" s="1"/>
  <c r="E28" i="14"/>
  <c r="F28" i="14"/>
  <c r="G28" i="14"/>
  <c r="H28" i="14"/>
  <c r="I28" i="14"/>
  <c r="J28" i="14"/>
  <c r="K28" i="14"/>
  <c r="L28" i="14"/>
  <c r="M28" i="14"/>
  <c r="N28" i="14"/>
  <c r="O28" i="14"/>
  <c r="D28" i="14"/>
  <c r="E26" i="14"/>
  <c r="F26" i="14"/>
  <c r="G26" i="14"/>
  <c r="H26" i="14"/>
  <c r="I26" i="14"/>
  <c r="J26" i="14"/>
  <c r="K26" i="14"/>
  <c r="L26" i="14"/>
  <c r="M26" i="14"/>
  <c r="N26" i="14"/>
  <c r="O26" i="14"/>
  <c r="D26" i="14"/>
  <c r="P26" i="14" s="1"/>
  <c r="H21" i="19" s="1"/>
  <c r="E24" i="14"/>
  <c r="F24" i="14"/>
  <c r="G24" i="14"/>
  <c r="H24" i="14"/>
  <c r="I24" i="14"/>
  <c r="J24" i="14"/>
  <c r="K24" i="14"/>
  <c r="L24" i="14"/>
  <c r="M24" i="14"/>
  <c r="N24" i="14"/>
  <c r="O24" i="14"/>
  <c r="D24" i="14"/>
  <c r="E22" i="14"/>
  <c r="F22" i="14"/>
  <c r="G22" i="14"/>
  <c r="H22" i="14"/>
  <c r="I22" i="14"/>
  <c r="J22" i="14"/>
  <c r="K22" i="14"/>
  <c r="L22" i="14"/>
  <c r="M22" i="14"/>
  <c r="N22" i="14"/>
  <c r="O22" i="14"/>
  <c r="D22" i="14"/>
  <c r="P22" i="14" s="1"/>
  <c r="F21" i="19" s="1"/>
  <c r="E20" i="14"/>
  <c r="F20" i="14"/>
  <c r="G20" i="14"/>
  <c r="H20" i="14"/>
  <c r="I20" i="14"/>
  <c r="J20" i="14"/>
  <c r="K20" i="14"/>
  <c r="L20" i="14"/>
  <c r="M20" i="14"/>
  <c r="N20" i="14"/>
  <c r="O20" i="14"/>
  <c r="D20" i="14"/>
  <c r="E18" i="14"/>
  <c r="F18" i="14"/>
  <c r="G18" i="14"/>
  <c r="H18" i="14"/>
  <c r="I18" i="14"/>
  <c r="J18" i="14"/>
  <c r="K18" i="14"/>
  <c r="L18" i="14"/>
  <c r="M18" i="14"/>
  <c r="N18" i="14"/>
  <c r="O18" i="14"/>
  <c r="D18" i="14"/>
  <c r="P18" i="14" s="1"/>
  <c r="D21" i="19" s="1"/>
  <c r="E16" i="14"/>
  <c r="F16" i="14"/>
  <c r="G16" i="14"/>
  <c r="H16" i="14"/>
  <c r="I16" i="14"/>
  <c r="J16" i="14"/>
  <c r="K16" i="14"/>
  <c r="L16" i="14"/>
  <c r="M16" i="14"/>
  <c r="N16" i="14"/>
  <c r="O16" i="14"/>
  <c r="C24" i="8"/>
  <c r="B128" i="30"/>
  <c r="B109" i="30"/>
  <c r="B90" i="30"/>
  <c r="B71" i="30"/>
  <c r="B52" i="30"/>
  <c r="B33" i="30"/>
  <c r="B14" i="30"/>
  <c r="P22" i="2"/>
  <c r="E13" i="8" s="1"/>
  <c r="P27" i="2"/>
  <c r="F13" i="8" s="1"/>
  <c r="P21" i="14"/>
  <c r="F14" i="8" s="1"/>
  <c r="P32" i="2"/>
  <c r="G13" i="8" s="1"/>
  <c r="P23" i="14"/>
  <c r="G14" i="8" s="1"/>
  <c r="P37" i="2"/>
  <c r="H10" i="19" s="1"/>
  <c r="P25" i="14"/>
  <c r="H14" i="8" s="1"/>
  <c r="P42" i="2"/>
  <c r="I10" i="19" s="1"/>
  <c r="D27" i="5"/>
  <c r="D37" i="19" s="1"/>
  <c r="F24" i="8"/>
  <c r="N143" i="15"/>
  <c r="H24" i="8"/>
  <c r="D7" i="8"/>
  <c r="E7" i="8"/>
  <c r="F7" i="8"/>
  <c r="G7" i="8"/>
  <c r="H7" i="8"/>
  <c r="I7" i="8"/>
  <c r="C7" i="8"/>
  <c r="E28" i="19"/>
  <c r="B11" i="28"/>
  <c r="B111" i="27"/>
  <c r="B95" i="27"/>
  <c r="B79" i="27"/>
  <c r="B63" i="27"/>
  <c r="B47" i="27"/>
  <c r="B31" i="27"/>
  <c r="B15" i="27"/>
  <c r="B138" i="25"/>
  <c r="B117" i="25"/>
  <c r="B96" i="25"/>
  <c r="B75" i="25"/>
  <c r="B54" i="25"/>
  <c r="B33" i="25"/>
  <c r="B12" i="25"/>
  <c r="I12" i="8"/>
  <c r="I29" i="8" s="1"/>
  <c r="I18" i="8"/>
  <c r="C12" i="8"/>
  <c r="C29" i="8" s="1"/>
  <c r="C18" i="8"/>
  <c r="D12" i="8"/>
  <c r="D29" i="8"/>
  <c r="D18" i="8"/>
  <c r="E12" i="8"/>
  <c r="E29" i="8" s="1"/>
  <c r="E18" i="8"/>
  <c r="G12" i="8"/>
  <c r="G29" i="8" s="1"/>
  <c r="G18" i="8"/>
  <c r="H12" i="8"/>
  <c r="H29" i="8"/>
  <c r="H18" i="8"/>
  <c r="F12" i="8"/>
  <c r="F29" i="8" s="1"/>
  <c r="F18" i="8"/>
  <c r="P196" i="15"/>
  <c r="P193" i="15"/>
  <c r="P189" i="15"/>
  <c r="P186" i="15"/>
  <c r="P183" i="15"/>
  <c r="P180" i="15"/>
  <c r="P169" i="15"/>
  <c r="P166" i="15"/>
  <c r="P162" i="15"/>
  <c r="P159" i="15"/>
  <c r="P156" i="15"/>
  <c r="P153" i="15"/>
  <c r="P142" i="15"/>
  <c r="P139" i="15"/>
  <c r="P135" i="15"/>
  <c r="P132" i="15"/>
  <c r="P129" i="15"/>
  <c r="P126" i="15"/>
  <c r="P115" i="15"/>
  <c r="P112" i="15"/>
  <c r="P108" i="15"/>
  <c r="P105" i="15"/>
  <c r="P102" i="15"/>
  <c r="P99" i="15"/>
  <c r="P81" i="15"/>
  <c r="P78" i="15"/>
  <c r="P75" i="15"/>
  <c r="P72" i="15"/>
  <c r="P88" i="15"/>
  <c r="P85" i="15"/>
  <c r="P61" i="15"/>
  <c r="P58" i="15"/>
  <c r="D377" i="17"/>
  <c r="B45" i="15"/>
  <c r="B18" i="15"/>
  <c r="P48" i="15"/>
  <c r="P31" i="15"/>
  <c r="P34" i="15"/>
  <c r="P21" i="15"/>
  <c r="D45" i="19"/>
  <c r="E45" i="19"/>
  <c r="F45" i="19"/>
  <c r="G45" i="19"/>
  <c r="H45" i="19"/>
  <c r="I45" i="19"/>
  <c r="C45" i="19"/>
  <c r="D35" i="19"/>
  <c r="E35" i="19"/>
  <c r="F35" i="19"/>
  <c r="G35" i="19"/>
  <c r="H35" i="19"/>
  <c r="I35" i="19"/>
  <c r="C35" i="19"/>
  <c r="D27" i="19"/>
  <c r="E27" i="19"/>
  <c r="F27" i="19"/>
  <c r="G27" i="19"/>
  <c r="H27" i="19"/>
  <c r="I27" i="19"/>
  <c r="C27" i="19"/>
  <c r="D19" i="19"/>
  <c r="E19" i="19"/>
  <c r="F19" i="19"/>
  <c r="G19" i="19"/>
  <c r="H19" i="19"/>
  <c r="I19" i="19"/>
  <c r="C19" i="19"/>
  <c r="D9" i="19"/>
  <c r="E9" i="19"/>
  <c r="F9" i="19"/>
  <c r="G9" i="19"/>
  <c r="H9" i="19"/>
  <c r="I9" i="19"/>
  <c r="C9" i="19"/>
  <c r="B180" i="15"/>
  <c r="B153" i="15"/>
  <c r="B126" i="15"/>
  <c r="B99" i="15"/>
  <c r="B72" i="15"/>
  <c r="B65" i="5"/>
  <c r="B57" i="5"/>
  <c r="B49" i="5"/>
  <c r="B41" i="5"/>
  <c r="B33" i="5"/>
  <c r="B25" i="5"/>
  <c r="B17" i="5"/>
  <c r="B24" i="3"/>
  <c r="B22" i="3"/>
  <c r="B20" i="3"/>
  <c r="B18" i="3"/>
  <c r="B16" i="3"/>
  <c r="B14" i="3"/>
  <c r="B12" i="3"/>
  <c r="B27" i="14"/>
  <c r="B25" i="14"/>
  <c r="B23" i="14"/>
  <c r="B21" i="14"/>
  <c r="B19" i="14"/>
  <c r="B17" i="14"/>
  <c r="B15" i="14"/>
  <c r="B42" i="2"/>
  <c r="B37" i="2"/>
  <c r="B32" i="2"/>
  <c r="B27" i="2"/>
  <c r="B22" i="2"/>
  <c r="B17" i="2"/>
  <c r="B12" i="2"/>
  <c r="B11" i="16"/>
  <c r="P54" i="15"/>
  <c r="D43" i="5"/>
  <c r="F37" i="19" s="1"/>
  <c r="C36" i="19"/>
  <c r="E1048568" i="17"/>
  <c r="P45" i="15"/>
  <c r="P51" i="15"/>
  <c r="P24" i="15"/>
  <c r="P27" i="15"/>
  <c r="G28" i="19"/>
  <c r="K170" i="15"/>
  <c r="O116" i="15"/>
  <c r="F197" i="15"/>
  <c r="L113" i="15"/>
  <c r="I194" i="15"/>
  <c r="J89" i="15"/>
  <c r="N167" i="15"/>
  <c r="L143" i="15"/>
  <c r="M86" i="15"/>
  <c r="K197" i="15"/>
  <c r="K143" i="15"/>
  <c r="G140" i="15"/>
  <c r="J197" i="15"/>
  <c r="F194" i="15"/>
  <c r="F199" i="15" s="1"/>
  <c r="L116" i="15"/>
  <c r="O89" i="15"/>
  <c r="N170" i="15"/>
  <c r="K167" i="15"/>
  <c r="G113" i="15"/>
  <c r="F89" i="15"/>
  <c r="F170" i="15"/>
  <c r="H143" i="15"/>
  <c r="E89" i="15"/>
  <c r="N197" i="15"/>
  <c r="O143" i="15"/>
  <c r="K140" i="15"/>
  <c r="K145" i="15" s="1"/>
  <c r="G10" i="19"/>
  <c r="F10" i="19"/>
  <c r="E10" i="19"/>
  <c r="D10" i="19"/>
  <c r="D28" i="19"/>
  <c r="F28" i="19"/>
  <c r="H20" i="19"/>
  <c r="F20" i="19"/>
  <c r="E20" i="19"/>
  <c r="P28" i="14"/>
  <c r="I21" i="19" s="1"/>
  <c r="P20" i="14"/>
  <c r="E21" i="19" s="1"/>
  <c r="P24" i="14"/>
  <c r="G21" i="19" s="1"/>
  <c r="P100" i="15"/>
  <c r="F46" i="19" s="1"/>
  <c r="C28" i="19"/>
  <c r="K85" i="27" l="1"/>
  <c r="K70" i="27"/>
  <c r="K86" i="27"/>
  <c r="K53" i="27"/>
  <c r="K118" i="27"/>
  <c r="E61" i="25"/>
  <c r="E69" i="25" s="1"/>
  <c r="E20" i="8" s="1"/>
  <c r="K69" i="27"/>
  <c r="O165" i="15"/>
  <c r="M28" i="15"/>
  <c r="H28" i="15"/>
  <c r="M82" i="15"/>
  <c r="E82" i="15"/>
  <c r="I109" i="15"/>
  <c r="J136" i="15"/>
  <c r="P127" i="15"/>
  <c r="G46" i="19" s="1"/>
  <c r="M190" i="15"/>
  <c r="E190" i="15"/>
  <c r="K55" i="15"/>
  <c r="H55" i="15"/>
  <c r="D82" i="15"/>
  <c r="P82" i="15" s="1"/>
  <c r="E49" i="19" s="1"/>
  <c r="D143" i="15"/>
  <c r="J28" i="15"/>
  <c r="E28" i="15"/>
  <c r="P28" i="15" s="1"/>
  <c r="C49" i="19" s="1"/>
  <c r="D32" i="15"/>
  <c r="G62" i="15"/>
  <c r="O82" i="15"/>
  <c r="G82" i="15"/>
  <c r="P73" i="15"/>
  <c r="E46" i="19" s="1"/>
  <c r="M109" i="15"/>
  <c r="F109" i="15"/>
  <c r="L136" i="15"/>
  <c r="M163" i="15"/>
  <c r="F163" i="15"/>
  <c r="O190" i="15"/>
  <c r="G190" i="15"/>
  <c r="M55" i="15"/>
  <c r="D163" i="15"/>
  <c r="I165" i="15"/>
  <c r="L28" i="15"/>
  <c r="L30" i="15" s="1"/>
  <c r="G28" i="15"/>
  <c r="L59" i="15"/>
  <c r="L82" i="15"/>
  <c r="H109" i="15"/>
  <c r="P109" i="15" s="1"/>
  <c r="F49" i="19" s="1"/>
  <c r="I136" i="15"/>
  <c r="O163" i="15"/>
  <c r="H163" i="15"/>
  <c r="L190" i="15"/>
  <c r="J55" i="15"/>
  <c r="D109" i="15"/>
  <c r="D167" i="15"/>
  <c r="D113" i="15"/>
  <c r="I82" i="15"/>
  <c r="O109" i="15"/>
  <c r="J109" i="15"/>
  <c r="M165" i="15"/>
  <c r="M173" i="15" s="1"/>
  <c r="M175" i="15" s="1"/>
  <c r="L118" i="15"/>
  <c r="I28" i="15"/>
  <c r="N82" i="15"/>
  <c r="F82" i="15"/>
  <c r="L109" i="15"/>
  <c r="L111" i="15" s="1"/>
  <c r="L119" i="15" s="1"/>
  <c r="L121" i="15" s="1"/>
  <c r="E109" i="15"/>
  <c r="K136" i="15"/>
  <c r="E163" i="15"/>
  <c r="E165" i="15" s="1"/>
  <c r="N190" i="15"/>
  <c r="F190" i="15"/>
  <c r="L55" i="15"/>
  <c r="N136" i="15"/>
  <c r="F136" i="15"/>
  <c r="P136" i="15" s="1"/>
  <c r="G49" i="19" s="1"/>
  <c r="J163" i="15"/>
  <c r="I190" i="15"/>
  <c r="O55" i="15"/>
  <c r="F55" i="15"/>
  <c r="F28" i="15"/>
  <c r="K82" i="15"/>
  <c r="J111" i="15"/>
  <c r="H136" i="15"/>
  <c r="L163" i="15"/>
  <c r="G163" i="15"/>
  <c r="G165" i="15" s="1"/>
  <c r="K190" i="15"/>
  <c r="I55" i="15"/>
  <c r="D55" i="15"/>
  <c r="P55" i="15" s="1"/>
  <c r="D49" i="19" s="1"/>
  <c r="E24" i="8"/>
  <c r="D35" i="5"/>
  <c r="E37" i="19" s="1"/>
  <c r="H28" i="19"/>
  <c r="H13" i="8"/>
  <c r="E97" i="16"/>
  <c r="I15" i="8" s="1"/>
  <c r="K112" i="27"/>
  <c r="E84" i="16"/>
  <c r="H15" i="8" s="1"/>
  <c r="H99" i="27"/>
  <c r="K99" i="27" s="1"/>
  <c r="K82" i="27"/>
  <c r="E45" i="16"/>
  <c r="E15" i="8" s="1"/>
  <c r="E16" i="8" s="1"/>
  <c r="E31" i="8" s="1"/>
  <c r="K101" i="27"/>
  <c r="K65" i="27"/>
  <c r="K66" i="27"/>
  <c r="K113" i="27"/>
  <c r="K97" i="27"/>
  <c r="K34" i="27"/>
  <c r="K16" i="27"/>
  <c r="K96" i="27"/>
  <c r="K117" i="27"/>
  <c r="E57" i="16"/>
  <c r="F8" i="8" s="1"/>
  <c r="K114" i="27"/>
  <c r="E58" i="16"/>
  <c r="F15" i="8" s="1"/>
  <c r="F16" i="8" s="1"/>
  <c r="F31" i="8" s="1"/>
  <c r="E83" i="16"/>
  <c r="H8" i="8" s="1"/>
  <c r="K64" i="27"/>
  <c r="K98" i="27"/>
  <c r="E71" i="16"/>
  <c r="G15" i="8" s="1"/>
  <c r="G16" i="8" s="1"/>
  <c r="G31" i="8" s="1"/>
  <c r="D319" i="17"/>
  <c r="J83" i="27" s="1"/>
  <c r="K83" i="27" s="1"/>
  <c r="K80" i="27"/>
  <c r="K38" i="27"/>
  <c r="P24" i="2"/>
  <c r="E19" i="8" s="1"/>
  <c r="K22" i="27"/>
  <c r="E124" i="25"/>
  <c r="E132" i="25" s="1"/>
  <c r="H20" i="8" s="1"/>
  <c r="H67" i="27"/>
  <c r="K67" i="27" s="1"/>
  <c r="P14" i="2"/>
  <c r="C11" i="19" s="1"/>
  <c r="K50" i="27"/>
  <c r="K81" i="27"/>
  <c r="P19" i="2"/>
  <c r="D19" i="8" s="1"/>
  <c r="E96" i="16"/>
  <c r="I8" i="8" s="1"/>
  <c r="F121" i="30"/>
  <c r="H9" i="8" s="1"/>
  <c r="P39" i="2"/>
  <c r="H19" i="8" s="1"/>
  <c r="K18" i="27"/>
  <c r="E32" i="16"/>
  <c r="D15" i="8" s="1"/>
  <c r="P29" i="2"/>
  <c r="F11" i="19" s="1"/>
  <c r="D25" i="2"/>
  <c r="P25" i="2" s="1"/>
  <c r="P34" i="2"/>
  <c r="E70" i="16"/>
  <c r="G8" i="8" s="1"/>
  <c r="P17" i="3"/>
  <c r="E29" i="19" s="1"/>
  <c r="G20" i="19"/>
  <c r="F45" i="30"/>
  <c r="D9" i="8" s="1"/>
  <c r="N30" i="15"/>
  <c r="P22" i="15"/>
  <c r="C47" i="19" s="1"/>
  <c r="F30" i="15"/>
  <c r="I28" i="19"/>
  <c r="G23" i="8"/>
  <c r="F23" i="8"/>
  <c r="I20" i="19"/>
  <c r="I13" i="8"/>
  <c r="P30" i="2"/>
  <c r="F12" i="19" s="1"/>
  <c r="K54" i="27"/>
  <c r="K37" i="27"/>
  <c r="K21" i="27"/>
  <c r="K48" i="27"/>
  <c r="E153" i="25"/>
  <c r="I20" i="8" s="1"/>
  <c r="E136" i="28"/>
  <c r="G21" i="8" s="1"/>
  <c r="E188" i="28"/>
  <c r="I21" i="8" s="1"/>
  <c r="E84" i="28"/>
  <c r="E21" i="8" s="1"/>
  <c r="K33" i="27"/>
  <c r="K17" i="27"/>
  <c r="K49" i="27"/>
  <c r="E18" i="16"/>
  <c r="C8" i="8" s="1"/>
  <c r="E44" i="16"/>
  <c r="E8" i="8" s="1"/>
  <c r="H19" i="27"/>
  <c r="K19" i="27" s="1"/>
  <c r="D316" i="17"/>
  <c r="J35" i="27" s="1"/>
  <c r="K35" i="27" s="1"/>
  <c r="E32" i="28"/>
  <c r="C21" i="8" s="1"/>
  <c r="E19" i="25"/>
  <c r="E27" i="25" s="1"/>
  <c r="F83" i="30"/>
  <c r="F9" i="8" s="1"/>
  <c r="E110" i="28"/>
  <c r="F21" i="8" s="1"/>
  <c r="F140" i="30"/>
  <c r="I9" i="8" s="1"/>
  <c r="P35" i="2"/>
  <c r="P45" i="2"/>
  <c r="F64" i="30"/>
  <c r="E9" i="8" s="1"/>
  <c r="E162" i="28"/>
  <c r="H21" i="8" s="1"/>
  <c r="F26" i="30"/>
  <c r="C9" i="8" s="1"/>
  <c r="F102" i="30"/>
  <c r="G9" i="8" s="1"/>
  <c r="F20" i="2"/>
  <c r="P20" i="2" s="1"/>
  <c r="E82" i="25"/>
  <c r="E90" i="25" s="1"/>
  <c r="F20" i="8" s="1"/>
  <c r="H115" i="27"/>
  <c r="K115" i="27" s="1"/>
  <c r="E103" i="25"/>
  <c r="E111" i="25" s="1"/>
  <c r="G20" i="8" s="1"/>
  <c r="K102" i="27"/>
  <c r="K32" i="27"/>
  <c r="P44" i="2"/>
  <c r="H51" i="27"/>
  <c r="K51" i="27" s="1"/>
  <c r="F40" i="2"/>
  <c r="P40" i="2" s="1"/>
  <c r="D67" i="5"/>
  <c r="I37" i="19" s="1"/>
  <c r="I24" i="8"/>
  <c r="H36" i="19"/>
  <c r="D51" i="5"/>
  <c r="G37" i="19" s="1"/>
  <c r="G24" i="8"/>
  <c r="D59" i="5"/>
  <c r="H37" i="19" s="1"/>
  <c r="D24" i="8"/>
  <c r="D19" i="5"/>
  <c r="C37" i="19" s="1"/>
  <c r="E31" i="16"/>
  <c r="D8" i="8" s="1"/>
  <c r="C13" i="8"/>
  <c r="E58" i="28"/>
  <c r="D21" i="8" s="1"/>
  <c r="E40" i="25"/>
  <c r="E48" i="25" s="1"/>
  <c r="D20" i="8" s="1"/>
  <c r="D14" i="8"/>
  <c r="D20" i="19"/>
  <c r="C23" i="8"/>
  <c r="O37" i="15"/>
  <c r="K172" i="15"/>
  <c r="N106" i="15"/>
  <c r="N111" i="15" s="1"/>
  <c r="N172" i="15"/>
  <c r="D197" i="15"/>
  <c r="D62" i="15"/>
  <c r="E59" i="15"/>
  <c r="M59" i="15"/>
  <c r="J62" i="15"/>
  <c r="J64" i="15" s="1"/>
  <c r="G35" i="15"/>
  <c r="G37" i="15" s="1"/>
  <c r="J32" i="15"/>
  <c r="O35" i="15"/>
  <c r="N86" i="15"/>
  <c r="K113" i="15"/>
  <c r="H140" i="15"/>
  <c r="H145" i="15" s="1"/>
  <c r="O194" i="15"/>
  <c r="M116" i="15"/>
  <c r="O170" i="15"/>
  <c r="G89" i="15"/>
  <c r="I143" i="15"/>
  <c r="J86" i="15"/>
  <c r="J91" i="15" s="1"/>
  <c r="L140" i="15"/>
  <c r="L145" i="15" s="1"/>
  <c r="G197" i="15"/>
  <c r="I116" i="15"/>
  <c r="D140" i="15"/>
  <c r="D59" i="15"/>
  <c r="F59" i="15"/>
  <c r="N59" i="15"/>
  <c r="K62" i="15"/>
  <c r="E32" i="15"/>
  <c r="J35" i="15"/>
  <c r="M32" i="15"/>
  <c r="F86" i="15"/>
  <c r="F91" i="15" s="1"/>
  <c r="J170" i="15"/>
  <c r="J194" i="15"/>
  <c r="J199" i="15" s="1"/>
  <c r="N116" i="15"/>
  <c r="G194" i="15"/>
  <c r="E116" i="15"/>
  <c r="L167" i="15"/>
  <c r="L172" i="15" s="1"/>
  <c r="K86" i="15"/>
  <c r="M140" i="15"/>
  <c r="O197" i="15"/>
  <c r="J116" i="15"/>
  <c r="K194" i="15"/>
  <c r="K199" i="15" s="1"/>
  <c r="M113" i="15"/>
  <c r="D89" i="15"/>
  <c r="G59" i="15"/>
  <c r="G64" i="15" s="1"/>
  <c r="O59" i="15"/>
  <c r="O64" i="15" s="1"/>
  <c r="L62" i="15"/>
  <c r="L64" i="15" s="1"/>
  <c r="E35" i="15"/>
  <c r="H32" i="15"/>
  <c r="M35" i="15"/>
  <c r="O86" i="15"/>
  <c r="O91" i="15" s="1"/>
  <c r="H167" i="15"/>
  <c r="E143" i="15"/>
  <c r="I140" i="15"/>
  <c r="I145" i="15" s="1"/>
  <c r="G167" i="15"/>
  <c r="L197" i="15"/>
  <c r="F116" i="15"/>
  <c r="H170" i="15"/>
  <c r="I113" i="15"/>
  <c r="J143" i="15"/>
  <c r="I197" i="15"/>
  <c r="E140" i="15"/>
  <c r="H197" i="15"/>
  <c r="N113" i="15"/>
  <c r="N118" i="15" s="1"/>
  <c r="L170" i="15"/>
  <c r="E113" i="15"/>
  <c r="E118" i="15" s="1"/>
  <c r="D170" i="15"/>
  <c r="D116" i="15"/>
  <c r="D86" i="15"/>
  <c r="H59" i="15"/>
  <c r="E62" i="15"/>
  <c r="M62" i="15"/>
  <c r="H35" i="15"/>
  <c r="K32" i="15"/>
  <c r="G116" i="15"/>
  <c r="G118" i="15" s="1"/>
  <c r="H116" i="15"/>
  <c r="M143" i="15"/>
  <c r="H194" i="15"/>
  <c r="J113" i="15"/>
  <c r="J118" i="15" s="1"/>
  <c r="J119" i="15" s="1"/>
  <c r="J121" i="15" s="1"/>
  <c r="M167" i="15"/>
  <c r="M172" i="15" s="1"/>
  <c r="H89" i="15"/>
  <c r="N140" i="15"/>
  <c r="N145" i="15" s="1"/>
  <c r="M194" i="15"/>
  <c r="K116" i="15"/>
  <c r="L194" i="15"/>
  <c r="F113" i="15"/>
  <c r="F118" i="15" s="1"/>
  <c r="E170" i="15"/>
  <c r="L89" i="15"/>
  <c r="I59" i="15"/>
  <c r="I64" i="15" s="1"/>
  <c r="F62" i="15"/>
  <c r="N62" i="15"/>
  <c r="F32" i="15"/>
  <c r="F37" i="15" s="1"/>
  <c r="K35" i="15"/>
  <c r="N32" i="15"/>
  <c r="N37" i="15" s="1"/>
  <c r="M197" i="15"/>
  <c r="G86" i="15"/>
  <c r="G91" i="15" s="1"/>
  <c r="K89" i="15"/>
  <c r="I170" i="15"/>
  <c r="I89" i="15"/>
  <c r="E167" i="15"/>
  <c r="L86" i="15"/>
  <c r="F140" i="15"/>
  <c r="E194" i="15"/>
  <c r="O113" i="15"/>
  <c r="O118" i="15" s="1"/>
  <c r="M170" i="15"/>
  <c r="M89" i="15"/>
  <c r="M91" i="15" s="1"/>
  <c r="I167" i="15"/>
  <c r="I172" i="15" s="1"/>
  <c r="I173" i="15" s="1"/>
  <c r="I175" i="15" s="1"/>
  <c r="H86" i="15"/>
  <c r="H91" i="15" s="1"/>
  <c r="D194" i="15"/>
  <c r="K59" i="15"/>
  <c r="H62" i="15"/>
  <c r="D35" i="15"/>
  <c r="I35" i="15"/>
  <c r="I37" i="15" s="1"/>
  <c r="L32" i="15"/>
  <c r="L37" i="15" s="1"/>
  <c r="E197" i="15"/>
  <c r="J140" i="15"/>
  <c r="J145" i="15" s="1"/>
  <c r="O167" i="15"/>
  <c r="F143" i="15"/>
  <c r="F167" i="15"/>
  <c r="F172" i="15" s="1"/>
  <c r="E86" i="15"/>
  <c r="E91" i="15" s="1"/>
  <c r="O140" i="15"/>
  <c r="O145" i="15" s="1"/>
  <c r="N194" i="15"/>
  <c r="N199" i="15" s="1"/>
  <c r="H113" i="15"/>
  <c r="H118" i="15" s="1"/>
  <c r="G170" i="15"/>
  <c r="N89" i="15"/>
  <c r="J167" i="15"/>
  <c r="I86" i="15"/>
  <c r="I91" i="15" s="1"/>
  <c r="G143" i="15"/>
  <c r="G145" i="15" s="1"/>
  <c r="F106" i="15"/>
  <c r="F111" i="15" s="1"/>
  <c r="K160" i="15"/>
  <c r="K165" i="15" s="1"/>
  <c r="P184" i="15"/>
  <c r="I47" i="19" s="1"/>
  <c r="P19" i="15"/>
  <c r="C46" i="19" s="1"/>
  <c r="F52" i="15"/>
  <c r="H52" i="15"/>
  <c r="J52" i="15"/>
  <c r="J57" i="15" s="1"/>
  <c r="L52" i="15"/>
  <c r="L57" i="15" s="1"/>
  <c r="N52" i="15"/>
  <c r="N57" i="15" s="1"/>
  <c r="F133" i="15"/>
  <c r="H133" i="15"/>
  <c r="H138" i="15" s="1"/>
  <c r="J133" i="15"/>
  <c r="L133" i="15"/>
  <c r="L138" i="15" s="1"/>
  <c r="N133" i="15"/>
  <c r="N138" i="15" s="1"/>
  <c r="K25" i="15"/>
  <c r="K30" i="15" s="1"/>
  <c r="D160" i="15"/>
  <c r="D106" i="15"/>
  <c r="D52" i="15"/>
  <c r="E106" i="15"/>
  <c r="E111" i="15" s="1"/>
  <c r="G106" i="15"/>
  <c r="G111" i="15" s="1"/>
  <c r="I106" i="15"/>
  <c r="I111" i="15" s="1"/>
  <c r="K106" i="15"/>
  <c r="K111" i="15" s="1"/>
  <c r="M106" i="15"/>
  <c r="M111" i="15" s="1"/>
  <c r="O106" i="15"/>
  <c r="O111" i="15" s="1"/>
  <c r="H25" i="15"/>
  <c r="H30" i="15" s="1"/>
  <c r="D187" i="15"/>
  <c r="E187" i="15"/>
  <c r="E192" i="15" s="1"/>
  <c r="G187" i="15"/>
  <c r="I187" i="15"/>
  <c r="I192" i="15" s="1"/>
  <c r="K187" i="15"/>
  <c r="K192" i="15" s="1"/>
  <c r="M187" i="15"/>
  <c r="O187" i="15"/>
  <c r="O192" i="15" s="1"/>
  <c r="F79" i="15"/>
  <c r="H79" i="15"/>
  <c r="H84" i="15" s="1"/>
  <c r="J79" i="15"/>
  <c r="J84" i="15" s="1"/>
  <c r="L79" i="15"/>
  <c r="L84" i="15" s="1"/>
  <c r="N79" i="15"/>
  <c r="N84" i="15" s="1"/>
  <c r="D25" i="15"/>
  <c r="E25" i="15"/>
  <c r="M25" i="15"/>
  <c r="F160" i="15"/>
  <c r="F165" i="15" s="1"/>
  <c r="H160" i="15"/>
  <c r="H165" i="15" s="1"/>
  <c r="J160" i="15"/>
  <c r="J165" i="15" s="1"/>
  <c r="L160" i="15"/>
  <c r="L165" i="15" s="1"/>
  <c r="N160" i="15"/>
  <c r="N165" i="15" s="1"/>
  <c r="J25" i="15"/>
  <c r="J30" i="15" s="1"/>
  <c r="E52" i="15"/>
  <c r="G52" i="15"/>
  <c r="I52" i="15"/>
  <c r="I57" i="15" s="1"/>
  <c r="K52" i="15"/>
  <c r="M52" i="15"/>
  <c r="M57" i="15" s="1"/>
  <c r="O52" i="15"/>
  <c r="O57" i="15" s="1"/>
  <c r="E133" i="15"/>
  <c r="E138" i="15" s="1"/>
  <c r="G133" i="15"/>
  <c r="G138" i="15" s="1"/>
  <c r="I133" i="15"/>
  <c r="K133" i="15"/>
  <c r="K138" i="15" s="1"/>
  <c r="M133" i="15"/>
  <c r="M138" i="15" s="1"/>
  <c r="O133" i="15"/>
  <c r="O138" i="15" s="1"/>
  <c r="G25" i="15"/>
  <c r="G30" i="15" s="1"/>
  <c r="O25" i="15"/>
  <c r="O30" i="15" s="1"/>
  <c r="F187" i="15"/>
  <c r="F192" i="15" s="1"/>
  <c r="H187" i="15"/>
  <c r="H192" i="15" s="1"/>
  <c r="J187" i="15"/>
  <c r="J192" i="15" s="1"/>
  <c r="L187" i="15"/>
  <c r="N187" i="15"/>
  <c r="N192" i="15" s="1"/>
  <c r="E79" i="15"/>
  <c r="E84" i="15" s="1"/>
  <c r="G79" i="15"/>
  <c r="I79" i="15"/>
  <c r="K79" i="15"/>
  <c r="K84" i="15" s="1"/>
  <c r="M79" i="15"/>
  <c r="M84" i="15" s="1"/>
  <c r="O79" i="15"/>
  <c r="O84" i="15" s="1"/>
  <c r="I25" i="15"/>
  <c r="P130" i="15"/>
  <c r="G47" i="19" s="1"/>
  <c r="I199" i="15"/>
  <c r="D138" i="15"/>
  <c r="G55" i="15"/>
  <c r="E55" i="15"/>
  <c r="D190" i="15"/>
  <c r="H46" i="15"/>
  <c r="F46" i="15"/>
  <c r="P46" i="15" s="1"/>
  <c r="D46" i="19" s="1"/>
  <c r="D49" i="15"/>
  <c r="P49" i="15" s="1"/>
  <c r="D47" i="19" s="1"/>
  <c r="D103" i="15"/>
  <c r="P103" i="15" s="1"/>
  <c r="F47" i="19" s="1"/>
  <c r="D157" i="15"/>
  <c r="P157" i="15" s="1"/>
  <c r="H47" i="19" s="1"/>
  <c r="D76" i="15"/>
  <c r="P76" i="15" s="1"/>
  <c r="E47" i="19" s="1"/>
  <c r="D23" i="8"/>
  <c r="H23" i="8"/>
  <c r="I23" i="8"/>
  <c r="C19" i="8"/>
  <c r="O15" i="2"/>
  <c r="P15" i="2" s="1"/>
  <c r="P16" i="2" s="1"/>
  <c r="C13" i="19" s="1"/>
  <c r="C14" i="8"/>
  <c r="C20" i="8" l="1"/>
  <c r="K55" i="27"/>
  <c r="E22" i="8" s="1"/>
  <c r="K119" i="27"/>
  <c r="I22" i="8" s="1"/>
  <c r="K87" i="27"/>
  <c r="G22" i="8" s="1"/>
  <c r="K39" i="27"/>
  <c r="K103" i="27"/>
  <c r="H22" i="8" s="1"/>
  <c r="K23" i="27"/>
  <c r="C22" i="8" s="1"/>
  <c r="K71" i="27"/>
  <c r="F22" i="8" s="1"/>
  <c r="E36" i="19"/>
  <c r="H16" i="8"/>
  <c r="H31" i="8" s="1"/>
  <c r="H10" i="8"/>
  <c r="H30" i="8" s="1"/>
  <c r="I16" i="8"/>
  <c r="I31" i="8" s="1"/>
  <c r="I84" i="15"/>
  <c r="I92" i="15" s="1"/>
  <c r="I94" i="15" s="1"/>
  <c r="G192" i="15"/>
  <c r="J138" i="15"/>
  <c r="K64" i="15"/>
  <c r="H199" i="15"/>
  <c r="H64" i="15"/>
  <c r="E145" i="15"/>
  <c r="K91" i="15"/>
  <c r="K92" i="15" s="1"/>
  <c r="K94" i="15" s="1"/>
  <c r="H111" i="15"/>
  <c r="H119" i="15" s="1"/>
  <c r="H121" i="15" s="1"/>
  <c r="P143" i="15"/>
  <c r="K57" i="15"/>
  <c r="F138" i="15"/>
  <c r="F38" i="15"/>
  <c r="F40" i="15" s="1"/>
  <c r="G84" i="15"/>
  <c r="L192" i="15"/>
  <c r="L200" i="15" s="1"/>
  <c r="L202" i="15" s="1"/>
  <c r="M30" i="15"/>
  <c r="F84" i="15"/>
  <c r="F92" i="15" s="1"/>
  <c r="F94" i="15" s="1"/>
  <c r="M118" i="15"/>
  <c r="I30" i="15"/>
  <c r="P190" i="15"/>
  <c r="I49" i="19" s="1"/>
  <c r="I138" i="15"/>
  <c r="E30" i="15"/>
  <c r="M192" i="15"/>
  <c r="P163" i="15"/>
  <c r="H49" i="19" s="1"/>
  <c r="F19" i="8"/>
  <c r="F10" i="8"/>
  <c r="F30" i="8" s="1"/>
  <c r="D11" i="19"/>
  <c r="G10" i="8"/>
  <c r="G30" i="8" s="1"/>
  <c r="I10" i="8"/>
  <c r="I30" i="8" s="1"/>
  <c r="E11" i="19"/>
  <c r="D10" i="8"/>
  <c r="D30" i="8" s="1"/>
  <c r="D16" i="8"/>
  <c r="D31" i="8" s="1"/>
  <c r="E10" i="8"/>
  <c r="E30" i="8" s="1"/>
  <c r="H11" i="19"/>
  <c r="G19" i="8"/>
  <c r="G11" i="19"/>
  <c r="C10" i="8"/>
  <c r="C30" i="8" s="1"/>
  <c r="M37" i="15"/>
  <c r="N38" i="15"/>
  <c r="N40" i="15" s="1"/>
  <c r="L38" i="15"/>
  <c r="L40" i="15" s="1"/>
  <c r="P31" i="2"/>
  <c r="F13" i="19" s="1"/>
  <c r="D22" i="8"/>
  <c r="P41" i="2"/>
  <c r="H13" i="19" s="1"/>
  <c r="H12" i="19"/>
  <c r="D12" i="19"/>
  <c r="P21" i="2"/>
  <c r="D13" i="19" s="1"/>
  <c r="I12" i="19"/>
  <c r="P46" i="2"/>
  <c r="I13" i="19" s="1"/>
  <c r="E12" i="19"/>
  <c r="P26" i="2"/>
  <c r="E13" i="19" s="1"/>
  <c r="I11" i="19"/>
  <c r="I19" i="8"/>
  <c r="P36" i="2"/>
  <c r="G13" i="19" s="1"/>
  <c r="G12" i="19"/>
  <c r="I36" i="19"/>
  <c r="G36" i="19"/>
  <c r="D36" i="19"/>
  <c r="C16" i="8"/>
  <c r="C31" i="8" s="1"/>
  <c r="L92" i="15"/>
  <c r="L94" i="15" s="1"/>
  <c r="D64" i="15"/>
  <c r="P59" i="15"/>
  <c r="P113" i="15"/>
  <c r="G92" i="15"/>
  <c r="G94" i="15" s="1"/>
  <c r="G38" i="15"/>
  <c r="G40" i="15" s="1"/>
  <c r="J92" i="15"/>
  <c r="J94" i="15" s="1"/>
  <c r="E119" i="15"/>
  <c r="E121" i="15"/>
  <c r="H146" i="15"/>
  <c r="H148" i="15" s="1"/>
  <c r="E199" i="15"/>
  <c r="E200" i="15" s="1"/>
  <c r="E202" i="15" s="1"/>
  <c r="G172" i="15"/>
  <c r="G173" i="15" s="1"/>
  <c r="G175" i="15" s="1"/>
  <c r="M145" i="15"/>
  <c r="M146" i="15" s="1"/>
  <c r="M148" i="15" s="1"/>
  <c r="P140" i="15"/>
  <c r="D145" i="15"/>
  <c r="D146" i="15" s="1"/>
  <c r="P35" i="15"/>
  <c r="D192" i="15"/>
  <c r="P187" i="15"/>
  <c r="I48" i="19" s="1"/>
  <c r="J172" i="15"/>
  <c r="J173" i="15" s="1"/>
  <c r="J175" i="15" s="1"/>
  <c r="F145" i="15"/>
  <c r="F146" i="15" s="1"/>
  <c r="F148" i="15" s="1"/>
  <c r="M64" i="15"/>
  <c r="M65" i="15" s="1"/>
  <c r="M67" i="15" s="1"/>
  <c r="P133" i="15"/>
  <c r="G48" i="19" s="1"/>
  <c r="N200" i="15"/>
  <c r="N202" i="15" s="1"/>
  <c r="I65" i="15"/>
  <c r="I67" i="15" s="1"/>
  <c r="F173" i="15"/>
  <c r="F175" i="15" s="1"/>
  <c r="P106" i="15"/>
  <c r="F48" i="19" s="1"/>
  <c r="D111" i="15"/>
  <c r="N65" i="15"/>
  <c r="N67" i="15" s="1"/>
  <c r="O172" i="15"/>
  <c r="O173" i="15" s="1"/>
  <c r="O175" i="15" s="1"/>
  <c r="D199" i="15"/>
  <c r="P194" i="15"/>
  <c r="L91" i="15"/>
  <c r="L199" i="15"/>
  <c r="D91" i="15"/>
  <c r="P86" i="15"/>
  <c r="E64" i="15"/>
  <c r="N119" i="15"/>
  <c r="N121" i="15"/>
  <c r="J146" i="15"/>
  <c r="J148" i="15" s="1"/>
  <c r="O146" i="15"/>
  <c r="O148" i="15"/>
  <c r="P138" i="15"/>
  <c r="I38" i="15"/>
  <c r="I40" i="15" s="1"/>
  <c r="K146" i="15"/>
  <c r="K148" i="15"/>
  <c r="G57" i="15"/>
  <c r="O119" i="15"/>
  <c r="O121" i="15" s="1"/>
  <c r="P160" i="15"/>
  <c r="H48" i="19" s="1"/>
  <c r="D165" i="15"/>
  <c r="L65" i="15"/>
  <c r="L67" i="15" s="1"/>
  <c r="E172" i="15"/>
  <c r="E173" i="15" s="1"/>
  <c r="E175" i="15" s="1"/>
  <c r="P116" i="15"/>
  <c r="H172" i="15"/>
  <c r="H173" i="15" s="1"/>
  <c r="H175" i="15" s="1"/>
  <c r="P89" i="15"/>
  <c r="E37" i="15"/>
  <c r="E38" i="15" s="1"/>
  <c r="E40" i="15" s="1"/>
  <c r="K118" i="15"/>
  <c r="K119" i="15" s="1"/>
  <c r="K121" i="15" s="1"/>
  <c r="P62" i="15"/>
  <c r="P32" i="15"/>
  <c r="O65" i="15"/>
  <c r="O67" i="15" s="1"/>
  <c r="E92" i="15"/>
  <c r="E94" i="15" s="1"/>
  <c r="H92" i="15"/>
  <c r="H94" i="15" s="1"/>
  <c r="O92" i="15"/>
  <c r="O94" i="15" s="1"/>
  <c r="J200" i="15"/>
  <c r="J202" i="15" s="1"/>
  <c r="I146" i="15"/>
  <c r="I148" i="15" s="1"/>
  <c r="E57" i="15"/>
  <c r="M119" i="15"/>
  <c r="M121" i="15" s="1"/>
  <c r="J65" i="15"/>
  <c r="J67" i="15" s="1"/>
  <c r="M199" i="15"/>
  <c r="M200" i="15" s="1"/>
  <c r="M202" i="15" s="1"/>
  <c r="P170" i="15"/>
  <c r="I118" i="15"/>
  <c r="I119" i="15" s="1"/>
  <c r="I121" i="15" s="1"/>
  <c r="G199" i="15"/>
  <c r="N91" i="15"/>
  <c r="N92" i="15" s="1"/>
  <c r="N94" i="15" s="1"/>
  <c r="P197" i="15"/>
  <c r="L173" i="15"/>
  <c r="L175" i="15" s="1"/>
  <c r="K67" i="15"/>
  <c r="K65" i="15"/>
  <c r="P52" i="15"/>
  <c r="D48" i="19" s="1"/>
  <c r="D57" i="15"/>
  <c r="H200" i="15"/>
  <c r="H202" i="15"/>
  <c r="G146" i="15"/>
  <c r="G148" i="15" s="1"/>
  <c r="D30" i="15"/>
  <c r="P25" i="15"/>
  <c r="C48" i="19" s="1"/>
  <c r="K200" i="15"/>
  <c r="K202" i="15" s="1"/>
  <c r="N146" i="15"/>
  <c r="N148" i="15" s="1"/>
  <c r="H57" i="15"/>
  <c r="K175" i="15"/>
  <c r="K173" i="15"/>
  <c r="K37" i="15"/>
  <c r="K38" i="15" s="1"/>
  <c r="K40" i="15" s="1"/>
  <c r="N64" i="15"/>
  <c r="D172" i="15"/>
  <c r="D84" i="15"/>
  <c r="O38" i="15"/>
  <c r="O40" i="15" s="1"/>
  <c r="G119" i="15"/>
  <c r="G121" i="15" s="1"/>
  <c r="O199" i="15"/>
  <c r="O200" i="15" s="1"/>
  <c r="O202" i="15" s="1"/>
  <c r="M92" i="15"/>
  <c r="M94" i="15"/>
  <c r="F200" i="15"/>
  <c r="F202" i="15" s="1"/>
  <c r="E146" i="15"/>
  <c r="E148" i="15" s="1"/>
  <c r="N173" i="15"/>
  <c r="N175" i="15" s="1"/>
  <c r="I200" i="15"/>
  <c r="I202" i="15" s="1"/>
  <c r="L146" i="15"/>
  <c r="L148" i="15" s="1"/>
  <c r="F57" i="15"/>
  <c r="F119" i="15"/>
  <c r="F121" i="15"/>
  <c r="H37" i="15"/>
  <c r="H38" i="15" s="1"/>
  <c r="H40" i="15" s="1"/>
  <c r="F64" i="15"/>
  <c r="J37" i="15"/>
  <c r="J38" i="15" s="1"/>
  <c r="J40" i="15" s="1"/>
  <c r="D118" i="15"/>
  <c r="P118" i="15" s="1"/>
  <c r="F51" i="19" s="1"/>
  <c r="P167" i="15"/>
  <c r="P79" i="15"/>
  <c r="E48" i="19" s="1"/>
  <c r="C12" i="19"/>
  <c r="P172" i="15" l="1"/>
  <c r="H51" i="19" s="1"/>
  <c r="H25" i="8"/>
  <c r="H26" i="8" s="1"/>
  <c r="H32" i="8" s="1"/>
  <c r="H33" i="8" s="1"/>
  <c r="AF36" i="8" s="1"/>
  <c r="G200" i="15"/>
  <c r="G202" i="15" s="1"/>
  <c r="M38" i="15"/>
  <c r="M40" i="15" s="1"/>
  <c r="P64" i="15"/>
  <c r="D51" i="19" s="1"/>
  <c r="C25" i="8"/>
  <c r="C26" i="8" s="1"/>
  <c r="C32" i="8" s="1"/>
  <c r="C33" i="8" s="1"/>
  <c r="AA35" i="8" s="1"/>
  <c r="G25" i="8"/>
  <c r="C51" i="19"/>
  <c r="P165" i="15"/>
  <c r="D173" i="15"/>
  <c r="P173" i="15" s="1"/>
  <c r="P174" i="15" s="1"/>
  <c r="H54" i="19" s="1"/>
  <c r="G65" i="15"/>
  <c r="G67" i="15" s="1"/>
  <c r="G50" i="19"/>
  <c r="P91" i="15"/>
  <c r="E51" i="19" s="1"/>
  <c r="P111" i="15"/>
  <c r="D119" i="15"/>
  <c r="P119" i="15" s="1"/>
  <c r="P120" i="15" s="1"/>
  <c r="F54" i="19" s="1"/>
  <c r="E25" i="8"/>
  <c r="P199" i="15"/>
  <c r="I51" i="19" s="1"/>
  <c r="P146" i="15"/>
  <c r="P147" i="15" s="1"/>
  <c r="G54" i="19" s="1"/>
  <c r="D148" i="15"/>
  <c r="F25" i="8"/>
  <c r="H65" i="15"/>
  <c r="H67" i="15" s="1"/>
  <c r="D38" i="15"/>
  <c r="P38" i="15" s="1"/>
  <c r="P39" i="15" s="1"/>
  <c r="C54" i="19" s="1"/>
  <c r="P30" i="15"/>
  <c r="I25" i="8"/>
  <c r="E65" i="15"/>
  <c r="E67" i="15" s="1"/>
  <c r="P57" i="15"/>
  <c r="D65" i="15"/>
  <c r="D67" i="15" s="1"/>
  <c r="F67" i="15"/>
  <c r="F65" i="15"/>
  <c r="D200" i="15"/>
  <c r="P200" i="15" s="1"/>
  <c r="P201" i="15" s="1"/>
  <c r="I54" i="19" s="1"/>
  <c r="P192" i="15"/>
  <c r="P145" i="15"/>
  <c r="G51" i="19" s="1"/>
  <c r="D25" i="8"/>
  <c r="D92" i="15"/>
  <c r="P92" i="15" s="1"/>
  <c r="P93" i="15" s="1"/>
  <c r="E54" i="19" s="1"/>
  <c r="P84" i="15"/>
  <c r="G52" i="19" l="1"/>
  <c r="G53" i="19" s="1"/>
  <c r="D202" i="15"/>
  <c r="D175" i="15"/>
  <c r="D40" i="15"/>
  <c r="AA34" i="8"/>
  <c r="C35" i="8"/>
  <c r="AA31" i="8"/>
  <c r="AA36" i="8"/>
  <c r="AA27" i="8"/>
  <c r="AA23" i="8"/>
  <c r="AA28" i="8"/>
  <c r="AA24" i="8"/>
  <c r="AA32" i="8"/>
  <c r="AA26" i="8"/>
  <c r="F26" i="8"/>
  <c r="F32" i="8" s="1"/>
  <c r="F33" i="8" s="1"/>
  <c r="AD36" i="8" s="1"/>
  <c r="G26" i="8"/>
  <c r="G32" i="8" s="1"/>
  <c r="G33" i="8" s="1"/>
  <c r="AE36" i="8" s="1"/>
  <c r="D94" i="15"/>
  <c r="P148" i="15"/>
  <c r="G55" i="19" s="1"/>
  <c r="I26" i="8"/>
  <c r="I32" i="8" s="1"/>
  <c r="I33" i="8" s="1"/>
  <c r="I50" i="19"/>
  <c r="I52" i="19" s="1"/>
  <c r="I53" i="19" s="1"/>
  <c r="P202" i="15"/>
  <c r="I55" i="19" s="1"/>
  <c r="P94" i="15"/>
  <c r="E55" i="19" s="1"/>
  <c r="E50" i="19"/>
  <c r="E52" i="19" s="1"/>
  <c r="E53" i="19" s="1"/>
  <c r="P65" i="15"/>
  <c r="P66" i="15" s="1"/>
  <c r="D54" i="19" s="1"/>
  <c r="P40" i="15"/>
  <c r="C55" i="19" s="1"/>
  <c r="C50" i="19"/>
  <c r="C52" i="19" s="1"/>
  <c r="C53" i="19" s="1"/>
  <c r="E26" i="8"/>
  <c r="E32" i="8" s="1"/>
  <c r="E33" i="8" s="1"/>
  <c r="D26" i="8"/>
  <c r="D32" i="8" s="1"/>
  <c r="D33" i="8" s="1"/>
  <c r="F50" i="19"/>
  <c r="F52" i="19" s="1"/>
  <c r="F53" i="19" s="1"/>
  <c r="P121" i="15"/>
  <c r="F55" i="19" s="1"/>
  <c r="AA30" i="8"/>
  <c r="AA33" i="8"/>
  <c r="P67" i="15"/>
  <c r="D55" i="19" s="1"/>
  <c r="D50" i="19"/>
  <c r="D52" i="19" s="1"/>
  <c r="D53" i="19" s="1"/>
  <c r="D121" i="15"/>
  <c r="H50" i="19"/>
  <c r="H52" i="19" s="1"/>
  <c r="H53" i="19" s="1"/>
  <c r="P175" i="15"/>
  <c r="H55" i="19" s="1"/>
  <c r="AF26" i="8"/>
  <c r="AF34" i="8"/>
  <c r="AF30" i="8"/>
  <c r="H35" i="8"/>
  <c r="AF23" i="8"/>
  <c r="AF35" i="8"/>
  <c r="AF31" i="8"/>
  <c r="AF28" i="8"/>
  <c r="AF24" i="8"/>
  <c r="AF33" i="8"/>
  <c r="AF27" i="8"/>
  <c r="AF32" i="8"/>
  <c r="AF37" i="8" l="1"/>
  <c r="AA25" i="8"/>
  <c r="AA29" i="8"/>
  <c r="AC32" i="8"/>
  <c r="AC27" i="8"/>
  <c r="AC28" i="8"/>
  <c r="E35" i="8"/>
  <c r="AC35" i="8"/>
  <c r="AC33" i="8"/>
  <c r="AC23" i="8"/>
  <c r="AC30" i="8"/>
  <c r="AC34" i="8"/>
  <c r="AC26" i="8"/>
  <c r="AC31" i="8"/>
  <c r="AC24" i="8"/>
  <c r="I35" i="8"/>
  <c r="AG32" i="8"/>
  <c r="AG35" i="8"/>
  <c r="AG33" i="8"/>
  <c r="AG30" i="8"/>
  <c r="AG34" i="8"/>
  <c r="AG28" i="8"/>
  <c r="AG26" i="8"/>
  <c r="AG23" i="8"/>
  <c r="AG27" i="8"/>
  <c r="AG31" i="8"/>
  <c r="AG24" i="8"/>
  <c r="AG36" i="8"/>
  <c r="D35" i="8"/>
  <c r="AB35" i="8"/>
  <c r="AH35" i="8" s="1"/>
  <c r="AB31" i="8"/>
  <c r="AH31" i="8" s="1"/>
  <c r="AB34" i="8"/>
  <c r="AH34" i="8" s="1"/>
  <c r="AB28" i="8"/>
  <c r="AH28" i="8" s="1"/>
  <c r="AB24" i="8"/>
  <c r="AH24" i="8" s="1"/>
  <c r="AB30" i="8"/>
  <c r="AH30" i="8" s="1"/>
  <c r="AB32" i="8"/>
  <c r="AH32" i="8" s="1"/>
  <c r="AB23" i="8"/>
  <c r="AH23" i="8" s="1"/>
  <c r="AB26" i="8"/>
  <c r="AH26" i="8" s="1"/>
  <c r="AB33" i="8"/>
  <c r="AH33" i="8" s="1"/>
  <c r="AB27" i="8"/>
  <c r="AH27" i="8" s="1"/>
  <c r="G35" i="8"/>
  <c r="AE35" i="8"/>
  <c r="AE26" i="8"/>
  <c r="AE32" i="8"/>
  <c r="AE33" i="8"/>
  <c r="AE31" i="8"/>
  <c r="AE30" i="8"/>
  <c r="AE24" i="8"/>
  <c r="AE27" i="8"/>
  <c r="AE28" i="8"/>
  <c r="AE34" i="8"/>
  <c r="AE23" i="8"/>
  <c r="AF29" i="8"/>
  <c r="AB36" i="8"/>
  <c r="AH36" i="8" s="1"/>
  <c r="AA37" i="8"/>
  <c r="AF25" i="8"/>
  <c r="AC36" i="8"/>
  <c r="F35" i="8"/>
  <c r="AD34" i="8"/>
  <c r="AD23" i="8"/>
  <c r="AD32" i="8"/>
  <c r="AD35" i="8"/>
  <c r="AD30" i="8"/>
  <c r="AD33" i="8"/>
  <c r="AD26" i="8"/>
  <c r="AD24" i="8"/>
  <c r="AD31" i="8"/>
  <c r="AD27" i="8"/>
  <c r="AD28" i="8"/>
  <c r="AG37" i="8" l="1"/>
  <c r="AE37" i="8"/>
  <c r="AD37" i="8"/>
  <c r="AC37" i="8"/>
  <c r="AF38" i="8"/>
  <c r="AC29" i="8"/>
  <c r="AE25" i="8"/>
  <c r="AD25" i="8"/>
  <c r="AB37" i="8"/>
  <c r="AH37" i="8" s="1"/>
  <c r="AE29" i="8"/>
  <c r="AC25" i="8"/>
  <c r="AG25" i="8"/>
  <c r="AD29" i="8"/>
  <c r="AG29" i="8"/>
  <c r="AA38" i="8"/>
  <c r="AB29" i="8"/>
  <c r="AH29" i="8" s="1"/>
  <c r="AB25" i="8"/>
  <c r="AH25" i="8" s="1"/>
  <c r="AD38" i="8" l="1"/>
  <c r="AE38" i="8"/>
  <c r="AC38" i="8"/>
  <c r="AB38" i="8"/>
  <c r="AG3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377" authorId="0" shapeId="0" xr:uid="{7E3EB270-329D-4BF0-82D5-FE1C6C8B3CFD}">
      <text>
        <r>
          <rPr>
            <sz val="9"/>
            <color indexed="81"/>
            <rFont val="Tahoma"/>
            <family val="2"/>
            <charset val="186"/>
          </rPr>
          <t>A4=1/16 A0</t>
        </r>
      </text>
    </comment>
  </commentList>
</comments>
</file>

<file path=xl/sharedStrings.xml><?xml version="1.0" encoding="utf-8"?>
<sst xmlns="http://schemas.openxmlformats.org/spreadsheetml/2006/main" count="2395" uniqueCount="528">
  <si>
    <t>KESKKONNAJALAJÄLJE ARVUTUSMUDELI EESMÄRK</t>
  </si>
  <si>
    <t>SISU JA KASUTAMINE</t>
  </si>
  <si>
    <t>TABELI TÄITMISE JUHIS:</t>
  </si>
  <si>
    <t>sisesta andmed</t>
  </si>
  <si>
    <t>andmed arvutatakse valemite abil</t>
  </si>
  <si>
    <t>ÜLDANDMED</t>
  </si>
  <si>
    <t>ELEKTRIENERGIA TARBIMINE</t>
  </si>
  <si>
    <t>mittetäidetavad lahtrid</t>
  </si>
  <si>
    <t>KHG JALAJÄLJE ARVUTAMISE ANDMED</t>
  </si>
  <si>
    <t>AASTA</t>
  </si>
  <si>
    <t>ANDMED</t>
  </si>
  <si>
    <t>Jaanuar</t>
  </si>
  <si>
    <t>Veebruar</t>
  </si>
  <si>
    <t>Märts</t>
  </si>
  <si>
    <t>Aprill</t>
  </si>
  <si>
    <t>Mai</t>
  </si>
  <si>
    <t xml:space="preserve">Juuni </t>
  </si>
  <si>
    <t>Juuli</t>
  </si>
  <si>
    <t>August</t>
  </si>
  <si>
    <t>September</t>
  </si>
  <si>
    <t>Oktoober</t>
  </si>
  <si>
    <t>November</t>
  </si>
  <si>
    <t>Detsember</t>
  </si>
  <si>
    <t>AASTAS KOKKU</t>
  </si>
  <si>
    <t>Taastuvelektri osakaal (%)</t>
  </si>
  <si>
    <t>Kontoris</t>
  </si>
  <si>
    <t>Kodukontorites</t>
  </si>
  <si>
    <t>Kodukontoris töötajate arv (taandatud täistööajale)</t>
  </si>
  <si>
    <t>Elektritarbimine kodukontorites (kWh)</t>
  </si>
  <si>
    <t>Elektritarbimine kokku (kWh)</t>
  </si>
  <si>
    <t>SOOJUSENERGIA TARBIMINE</t>
  </si>
  <si>
    <t>vali andmed rippmenüüst</t>
  </si>
  <si>
    <t>Kaugkütte võrgupiirkond</t>
  </si>
  <si>
    <r>
      <t>Kaugkütte võrgupiirkonna eriheitetegur 
(kg CO</t>
    </r>
    <r>
      <rPr>
        <b/>
        <vertAlign val="subscript"/>
        <sz val="10"/>
        <rFont val="Calibri"/>
        <family val="2"/>
        <scheme val="minor"/>
      </rPr>
      <t xml:space="preserve">2 </t>
    </r>
    <r>
      <rPr>
        <b/>
        <sz val="10"/>
        <rFont val="Calibri"/>
        <family val="2"/>
        <charset val="186"/>
        <scheme val="minor"/>
      </rPr>
      <t>ekv/kWh)</t>
    </r>
  </si>
  <si>
    <t>Oma keskküttekatla kütuseliik</t>
  </si>
  <si>
    <r>
      <t>Soojusenergia tarbimine ruutmeetri kohta (kWh/m</t>
    </r>
    <r>
      <rPr>
        <vertAlign val="superscript"/>
        <sz val="10"/>
        <rFont val="Calibri"/>
        <family val="2"/>
        <scheme val="minor"/>
      </rPr>
      <t>2</t>
    </r>
    <r>
      <rPr>
        <sz val="10"/>
        <rFont val="Calibri"/>
        <family val="2"/>
        <scheme val="minor"/>
      </rPr>
      <t>)</t>
    </r>
  </si>
  <si>
    <t>VEETARBIMINE</t>
  </si>
  <si>
    <r>
      <t>sisesta andmed arvetelt (m</t>
    </r>
    <r>
      <rPr>
        <i/>
        <vertAlign val="superscript"/>
        <sz val="10"/>
        <rFont val="Calibri"/>
        <family val="2"/>
        <scheme val="minor"/>
      </rPr>
      <t>3</t>
    </r>
    <r>
      <rPr>
        <i/>
        <sz val="10"/>
        <rFont val="Calibri"/>
        <family val="2"/>
        <scheme val="minor"/>
      </rPr>
      <t>)</t>
    </r>
  </si>
  <si>
    <t>PABERIKASUTUS</t>
  </si>
  <si>
    <t>lehte</t>
  </si>
  <si>
    <t>1 A4 leht=</t>
  </si>
  <si>
    <t>g</t>
  </si>
  <si>
    <t>Ostetud kontoripaberi pakke (tk)</t>
  </si>
  <si>
    <t>Kontoripaberi lehti (A4) kokku</t>
  </si>
  <si>
    <t>Kontoripaberi lehti (A4) töötaja kohta (lehti/in)</t>
  </si>
  <si>
    <t>Ostetud kontoripaber (kg)</t>
  </si>
  <si>
    <t>JÄÄTMETEKE</t>
  </si>
  <si>
    <t xml:space="preserve">Liigiti kogutud biojäätmed (toidujäätmed): </t>
  </si>
  <si>
    <r>
      <t>1 m</t>
    </r>
    <r>
      <rPr>
        <i/>
        <vertAlign val="superscript"/>
        <sz val="11"/>
        <color theme="1"/>
        <rFont val="Calibri"/>
        <family val="2"/>
        <scheme val="minor"/>
      </rPr>
      <t>3</t>
    </r>
    <r>
      <rPr>
        <i/>
        <sz val="11"/>
        <color theme="1"/>
        <rFont val="Calibri"/>
        <family val="2"/>
        <scheme val="minor"/>
      </rPr>
      <t>=</t>
    </r>
  </si>
  <si>
    <t>tonni</t>
  </si>
  <si>
    <t>kg</t>
  </si>
  <si>
    <t>Liigiti kogutud klaaspakend:</t>
  </si>
  <si>
    <t>Liigiti kogutud paber ja kartong:</t>
  </si>
  <si>
    <t>Liigiti kogutud segapakend:</t>
  </si>
  <si>
    <t xml:space="preserve">Segaolmejäätmed: </t>
  </si>
  <si>
    <r>
      <t>sisesta jäätmete maht (m</t>
    </r>
    <r>
      <rPr>
        <i/>
        <vertAlign val="superscript"/>
        <sz val="10"/>
        <rFont val="Calibri"/>
        <family val="2"/>
        <scheme val="minor"/>
      </rPr>
      <t>3</t>
    </r>
    <r>
      <rPr>
        <i/>
        <sz val="10"/>
        <rFont val="Calibri"/>
        <family val="2"/>
        <scheme val="minor"/>
      </rPr>
      <t>) VÕI kaal (kg)</t>
    </r>
  </si>
  <si>
    <r>
      <t>Liigiti kogutud biojäätmed (m</t>
    </r>
    <r>
      <rPr>
        <vertAlign val="superscript"/>
        <sz val="10"/>
        <rFont val="Calibri"/>
        <family val="2"/>
        <scheme val="minor"/>
      </rPr>
      <t>3</t>
    </r>
    <r>
      <rPr>
        <sz val="10"/>
        <rFont val="Calibri"/>
        <family val="2"/>
        <scheme val="minor"/>
      </rPr>
      <t>)</t>
    </r>
  </si>
  <si>
    <t>Liigiti kogutud biojäätmed (kg), mahu põhjal arvutatuna</t>
  </si>
  <si>
    <t>Liigiti kogutud biojäätmed (kg)</t>
  </si>
  <si>
    <r>
      <t>Liigiti kogutud klaaspakend (m</t>
    </r>
    <r>
      <rPr>
        <vertAlign val="superscript"/>
        <sz val="10"/>
        <rFont val="Calibri"/>
        <family val="2"/>
        <scheme val="minor"/>
      </rPr>
      <t>3</t>
    </r>
    <r>
      <rPr>
        <sz val="10"/>
        <rFont val="Calibri"/>
        <family val="2"/>
        <scheme val="minor"/>
      </rPr>
      <t>)</t>
    </r>
  </si>
  <si>
    <t>Liigiti kogutud klaaspakend (kg), mahu põhjal arvutatuna</t>
  </si>
  <si>
    <t>Liigiti kogutud klaaspakend (kg)</t>
  </si>
  <si>
    <r>
      <t>Liigiti kogutud paber ja kartong (m</t>
    </r>
    <r>
      <rPr>
        <vertAlign val="superscript"/>
        <sz val="10"/>
        <rFont val="Calibri"/>
        <family val="2"/>
        <scheme val="minor"/>
      </rPr>
      <t>3</t>
    </r>
    <r>
      <rPr>
        <sz val="10"/>
        <rFont val="Calibri"/>
        <family val="2"/>
        <scheme val="minor"/>
      </rPr>
      <t>)</t>
    </r>
  </si>
  <si>
    <t>Liigiti kogutud paber ja kartong (kg), mahu põhjal arvutatuna</t>
  </si>
  <si>
    <t>Liigiti kogutud paber ja kartong (kg)</t>
  </si>
  <si>
    <r>
      <t>Liigiti kogutud segapakend (m</t>
    </r>
    <r>
      <rPr>
        <vertAlign val="superscript"/>
        <sz val="10"/>
        <rFont val="Calibri"/>
        <family val="2"/>
        <scheme val="minor"/>
      </rPr>
      <t>3</t>
    </r>
    <r>
      <rPr>
        <sz val="10"/>
        <rFont val="Calibri"/>
        <family val="2"/>
        <scheme val="minor"/>
      </rPr>
      <t>)</t>
    </r>
  </si>
  <si>
    <t>Liigiti kogutud segapakend (kg), mahu põhjal arvutatuna</t>
  </si>
  <si>
    <t>Liigiti kogutud segapakend (kg)</t>
  </si>
  <si>
    <t>LIIGITI KOGUTUD JÄÄTMED KOKKU (kg)</t>
  </si>
  <si>
    <r>
      <t>Segaolmejäätmed, prügilasse ladestamine (m</t>
    </r>
    <r>
      <rPr>
        <vertAlign val="superscript"/>
        <sz val="10"/>
        <color theme="1"/>
        <rFont val="Calibri"/>
        <family val="2"/>
        <scheme val="minor"/>
      </rPr>
      <t>3</t>
    </r>
    <r>
      <rPr>
        <sz val="10"/>
        <color theme="1"/>
        <rFont val="Calibri"/>
        <family val="2"/>
        <scheme val="minor"/>
      </rPr>
      <t>)</t>
    </r>
  </si>
  <si>
    <t>Segaolmejäätmed, prügilasse ladestamine (kg), mahu põhjal arvutatuna</t>
  </si>
  <si>
    <t>Segaolmejäätmed, prügilasse ladestamine (kg)</t>
  </si>
  <si>
    <r>
      <t>Segaolmejäätmed, põletamine (m</t>
    </r>
    <r>
      <rPr>
        <vertAlign val="superscript"/>
        <sz val="10"/>
        <color theme="1"/>
        <rFont val="Calibri"/>
        <family val="2"/>
        <scheme val="minor"/>
      </rPr>
      <t>3</t>
    </r>
    <r>
      <rPr>
        <sz val="10"/>
        <color theme="1"/>
        <rFont val="Calibri"/>
        <family val="2"/>
        <scheme val="minor"/>
      </rPr>
      <t>)</t>
    </r>
  </si>
  <si>
    <t>Segaolmejäätmed, põletamine (kg), mahu põhjal arvutatuna</t>
  </si>
  <si>
    <t>Segaolmejäätmed, põletamine (kg)</t>
  </si>
  <si>
    <t>Segaolmejäätmed kokku (kg)</t>
  </si>
  <si>
    <t>OLMEJÄÄTMED KOKKU (kg)</t>
  </si>
  <si>
    <t>Liigiti kogutud jäätmete osakaal (%)</t>
  </si>
  <si>
    <t>ELEKTRI-, SOOJUSENERGIA, VEE- JA PABERIKASUTUSE NING JÄÄTMETEKKE KOONDTULEMUSED</t>
  </si>
  <si>
    <t>ELEKTRITARBIMINE</t>
  </si>
  <si>
    <t>Elektrienergia tarbimine kokku (kWh)</t>
  </si>
  <si>
    <t>OLMEJÄÄTMETE TEKE</t>
  </si>
  <si>
    <t>Liigiti kogutud segapakendid (kg)</t>
  </si>
  <si>
    <t>Liigiti kogutud jäätmed kokku (kg)</t>
  </si>
  <si>
    <t>Segaolmejäätmed (kg)</t>
  </si>
  <si>
    <t>Olmejäätmete teke kokku (kg)</t>
  </si>
  <si>
    <t>Olmejäätmete teke kokku (t)</t>
  </si>
  <si>
    <t>KÜTUSE-/ ELEKTRIKULU</t>
  </si>
  <si>
    <r>
      <t>KHG HEITKOGUS 
(t CO</t>
    </r>
    <r>
      <rPr>
        <b/>
        <vertAlign val="subscript"/>
        <sz val="10"/>
        <color theme="1"/>
        <rFont val="Calibri"/>
        <family val="2"/>
        <scheme val="minor"/>
      </rPr>
      <t>2</t>
    </r>
    <r>
      <rPr>
        <b/>
        <sz val="10"/>
        <color theme="1"/>
        <rFont val="Calibri"/>
        <family val="2"/>
        <scheme val="minor"/>
      </rPr>
      <t xml:space="preserve"> ekv)</t>
    </r>
  </si>
  <si>
    <t>Tarbitud bensiini kogus (liitrit)</t>
  </si>
  <si>
    <t>Tarbitud diisli kogus (liitrit)</t>
  </si>
  <si>
    <t>Tarbitud biometaani kogus (kg)</t>
  </si>
  <si>
    <t>Tarbitud maagaasi kogus (kg)</t>
  </si>
  <si>
    <t>Tarbitud taastuvelektri kogus (kWh)</t>
  </si>
  <si>
    <t>Tarbitud tavaelektri kogus (kWh)</t>
  </si>
  <si>
    <t>HAJUSHEITMED</t>
  </si>
  <si>
    <t>SÜSTEEMI VÕI SEADMESSE LISATUD (LEKKINUD) F-GAASI KOGUS (kg)</t>
  </si>
  <si>
    <t>GLOBAALSE SOOJENEMISE POTENTSIAAL</t>
  </si>
  <si>
    <t>Kasutatud F-gaas</t>
  </si>
  <si>
    <t>Hajusheitmete KHG heitkogus kokku</t>
  </si>
  <si>
    <t>TÖÖREISID</t>
  </si>
  <si>
    <t xml:space="preserve">LÄBITUD VAHEMAA </t>
  </si>
  <si>
    <t>KHG HEITKOGUS (läbitud vahemaa põhjal arvutatud)</t>
  </si>
  <si>
    <t>KHG HEITKOGUS 
(ise välja arvutatuna)</t>
  </si>
  <si>
    <t>Tööreisid autoga</t>
  </si>
  <si>
    <t>km</t>
  </si>
  <si>
    <r>
      <t>t CO</t>
    </r>
    <r>
      <rPr>
        <b/>
        <vertAlign val="subscript"/>
        <sz val="10"/>
        <color theme="1"/>
        <rFont val="Calibri"/>
        <family val="2"/>
        <scheme val="minor"/>
      </rPr>
      <t>2</t>
    </r>
    <r>
      <rPr>
        <b/>
        <sz val="10"/>
        <color theme="1"/>
        <rFont val="Calibri"/>
        <family val="2"/>
        <scheme val="minor"/>
      </rPr>
      <t xml:space="preserve"> ekv</t>
    </r>
  </si>
  <si>
    <t>Bensiiniauto</t>
  </si>
  <si>
    <t>Diiselauto</t>
  </si>
  <si>
    <t>Taastuvelektriga laaditud elektriauto</t>
  </si>
  <si>
    <t>Tavaelektriga laaditud elektriauto</t>
  </si>
  <si>
    <t>Takso</t>
  </si>
  <si>
    <t>Tööreisid ühistranspordiga</t>
  </si>
  <si>
    <t>sõitja-km</t>
  </si>
  <si>
    <t>Kaugliinibuss</t>
  </si>
  <si>
    <t>Linnaliinibuss Tallinnas</t>
  </si>
  <si>
    <t>Linnaliinibuss mujal Eestis</t>
  </si>
  <si>
    <t>Diiselrong</t>
  </si>
  <si>
    <t>Elektrirong</t>
  </si>
  <si>
    <t>Laev</t>
  </si>
  <si>
    <t>Lennuk</t>
  </si>
  <si>
    <t>Tööreiside KHG heitkogus kokku</t>
  </si>
  <si>
    <t>TÖÖTAJATE TÖÖLE-KOJU LIIKUMINE</t>
  </si>
  <si>
    <t>TABELITE TÄITMISE JUHIS:</t>
  </si>
  <si>
    <t>TÖÖTAJATE LÄBITUD VAHEMAA KOKKU (km)</t>
  </si>
  <si>
    <r>
      <t>KHG HEITKOGUS (t CO</t>
    </r>
    <r>
      <rPr>
        <b/>
        <vertAlign val="subscript"/>
        <sz val="10"/>
        <rFont val="Calibri"/>
        <family val="2"/>
        <scheme val="minor"/>
      </rPr>
      <t>2</t>
    </r>
    <r>
      <rPr>
        <b/>
        <sz val="10"/>
        <rFont val="Calibri"/>
        <family val="2"/>
        <scheme val="minor"/>
      </rPr>
      <t xml:space="preserve"> ekv)</t>
    </r>
  </si>
  <si>
    <t>Tööle-koju liikumine autoga</t>
  </si>
  <si>
    <t>Taastuvelektriga laetud elektriauto</t>
  </si>
  <si>
    <t>Tavaelektriga laetud elektriauto</t>
  </si>
  <si>
    <t>Tööle-koju liikumine ühistranspordiga</t>
  </si>
  <si>
    <t>Maakonnaliinibuss</t>
  </si>
  <si>
    <t>Tramm/troll</t>
  </si>
  <si>
    <t>Tööle-koju liikumine jalgratta/tõukerattaga</t>
  </si>
  <si>
    <t>Tavajalgratas</t>
  </si>
  <si>
    <t>Taastuvelektriga laetud elektriratas (sh Bolt, Tuul)</t>
  </si>
  <si>
    <t>Tavaelektriga laetud elektriratas</t>
  </si>
  <si>
    <t>Tööle-koju liikumine jala</t>
  </si>
  <si>
    <t>Tööle-koju liikumise KHG heitkogus kokku</t>
  </si>
  <si>
    <t>SISSEOSTETUD TRANSPORDITEENUS</t>
  </si>
  <si>
    <t>KHG HEITKOGUS
(kütuse-/elektrikulu põhjal)</t>
  </si>
  <si>
    <t>KHG HEITKOGUS 
(läbisõidu põhjal)</t>
  </si>
  <si>
    <t>KHG HEITKOGUS AASTAS KOKKU</t>
  </si>
  <si>
    <t>l või kWh</t>
  </si>
  <si>
    <r>
      <t>t CO</t>
    </r>
    <r>
      <rPr>
        <b/>
        <vertAlign val="subscript"/>
        <sz val="10"/>
        <rFont val="Calibri"/>
        <family val="2"/>
        <scheme val="minor"/>
      </rPr>
      <t>2</t>
    </r>
    <r>
      <rPr>
        <b/>
        <sz val="10"/>
        <rFont val="Calibri"/>
        <family val="2"/>
        <scheme val="minor"/>
      </rPr>
      <t xml:space="preserve"> ekv l, kg või kWh kohta</t>
    </r>
  </si>
  <si>
    <r>
      <t>t CO</t>
    </r>
    <r>
      <rPr>
        <b/>
        <vertAlign val="subscript"/>
        <sz val="10"/>
        <rFont val="Calibri"/>
        <family val="2"/>
        <scheme val="minor"/>
      </rPr>
      <t>2</t>
    </r>
    <r>
      <rPr>
        <b/>
        <sz val="10"/>
        <rFont val="Calibri"/>
        <family val="2"/>
        <scheme val="minor"/>
      </rPr>
      <t xml:space="preserve"> ekv/km</t>
    </r>
  </si>
  <si>
    <t>tonn-km</t>
  </si>
  <si>
    <r>
      <t>t CO</t>
    </r>
    <r>
      <rPr>
        <b/>
        <vertAlign val="subscript"/>
        <sz val="10"/>
        <rFont val="Calibri"/>
        <family val="2"/>
        <scheme val="minor"/>
      </rPr>
      <t>2</t>
    </r>
    <r>
      <rPr>
        <b/>
        <sz val="10"/>
        <rFont val="Calibri"/>
        <family val="2"/>
        <scheme val="minor"/>
      </rPr>
      <t xml:space="preserve"> ekv/tonn-km</t>
    </r>
  </si>
  <si>
    <r>
      <t>t CO</t>
    </r>
    <r>
      <rPr>
        <b/>
        <vertAlign val="subscript"/>
        <sz val="10"/>
        <rFont val="Calibri"/>
        <family val="2"/>
        <scheme val="minor"/>
      </rPr>
      <t>2</t>
    </r>
    <r>
      <rPr>
        <b/>
        <sz val="10"/>
        <rFont val="Calibri"/>
        <family val="2"/>
        <scheme val="minor"/>
      </rPr>
      <t xml:space="preserve"> ekv</t>
    </r>
  </si>
  <si>
    <t>Kauba transport</t>
  </si>
  <si>
    <t>Kaubik, bensiin</t>
  </si>
  <si>
    <t>Kaubik, diisel</t>
  </si>
  <si>
    <t xml:space="preserve">Kaubik, taastuvelekter </t>
  </si>
  <si>
    <t>Kaubik, tavaelekter</t>
  </si>
  <si>
    <t>Inimeste transport</t>
  </si>
  <si>
    <t>Buss, diisel</t>
  </si>
  <si>
    <t>Väikebuss, diisel</t>
  </si>
  <si>
    <t>Sisseostetud transporditeenuse KHG heitkogus kokku</t>
  </si>
  <si>
    <t>KHG HEITKOGUS 
(kütuse-/elektrikulu põhjal)</t>
  </si>
  <si>
    <t>KHG JALAJÄLG MÕJUALADE KAUPA (CO₂ ekv t/a)</t>
  </si>
  <si>
    <t>Hajusheitmed kliimaseadmetest</t>
  </si>
  <si>
    <t>MÕJUALA 1 KOKKU</t>
  </si>
  <si>
    <t>MÕJUALA 2 KOKKU</t>
  </si>
  <si>
    <t xml:space="preserve">Kodukontorite elektrienergia tarbimine </t>
  </si>
  <si>
    <t>Tööreisid</t>
  </si>
  <si>
    <t xml:space="preserve">Tööle-koju liikumine </t>
  </si>
  <si>
    <t>Sisseostetud transporditeenus</t>
  </si>
  <si>
    <t>Joonise andmed:</t>
  </si>
  <si>
    <t>Veetarbimine ja reovee käitlus</t>
  </si>
  <si>
    <t>MÕJUALA 1</t>
  </si>
  <si>
    <t>Paberikasutus</t>
  </si>
  <si>
    <t>Hajusheitmed</t>
  </si>
  <si>
    <t>Jäätmekäitlus</t>
  </si>
  <si>
    <t>Mõjuala 1 kokku</t>
  </si>
  <si>
    <t>MÕJUALA 3 KOKKU</t>
  </si>
  <si>
    <t>MÕJUALA 2</t>
  </si>
  <si>
    <t>Mõjuala 2 kokku</t>
  </si>
  <si>
    <r>
      <t xml:space="preserve">Mõjuala 1 </t>
    </r>
    <r>
      <rPr>
        <sz val="10"/>
        <color theme="1"/>
        <rFont val="Calibri"/>
        <family val="2"/>
      </rPr>
      <t>‒</t>
    </r>
    <r>
      <rPr>
        <sz val="10"/>
        <color theme="1"/>
        <rFont val="Calibri"/>
        <family val="2"/>
        <scheme val="minor"/>
      </rPr>
      <t xml:space="preserve"> organisatsiooni omatud/kontrollitud heiteallikatest tulenev otsene KHG heide</t>
    </r>
  </si>
  <si>
    <t>MÕJUALA 3</t>
  </si>
  <si>
    <t>Kodukontor</t>
  </si>
  <si>
    <t>Mõjuala 2 ‒ energiatarbimisest tulenev kaudne KHG heide</t>
  </si>
  <si>
    <t xml:space="preserve">Mõjuala 3 ‒ muu kaudne KHG heide </t>
  </si>
  <si>
    <t>Tööle-koju</t>
  </si>
  <si>
    <t>KHG JALAJÄLG KOKKU</t>
  </si>
  <si>
    <t>Transporditeenus</t>
  </si>
  <si>
    <t>Vesi</t>
  </si>
  <si>
    <t>Paber</t>
  </si>
  <si>
    <t>Jäätmed</t>
  </si>
  <si>
    <t>Mõjuala 3 kokku</t>
  </si>
  <si>
    <t>KOKKU</t>
  </si>
  <si>
    <t>Vali aasta</t>
  </si>
  <si>
    <t>ERIHEITETEGURID</t>
  </si>
  <si>
    <t>M2 - Sisseostetud elekter</t>
  </si>
  <si>
    <t>Aasta</t>
  </si>
  <si>
    <t>Elektrienergia segajäägi eriheide</t>
  </si>
  <si>
    <t>Eriheitetegur</t>
  </si>
  <si>
    <t>Ühik</t>
  </si>
  <si>
    <t>Allikas</t>
  </si>
  <si>
    <t>Elektrienergia segajääk</t>
  </si>
  <si>
    <r>
      <t>kg CO</t>
    </r>
    <r>
      <rPr>
        <vertAlign val="subscript"/>
        <sz val="10"/>
        <color theme="1"/>
        <rFont val="Calibri"/>
        <family val="2"/>
        <scheme val="minor"/>
      </rPr>
      <t>2</t>
    </r>
    <r>
      <rPr>
        <sz val="10"/>
        <color theme="1"/>
        <rFont val="Calibri"/>
        <family val="2"/>
        <scheme val="minor"/>
      </rPr>
      <t>/kWh</t>
    </r>
  </si>
  <si>
    <t>Elering 2023. Elektrienergia segajäägi eriheide 2022</t>
  </si>
  <si>
    <t xml:space="preserve">M2 - Sisseostetud soojusenergia </t>
  </si>
  <si>
    <t>Kaugkütte võrgupiirkond - Tallinn</t>
  </si>
  <si>
    <t>Tallinn</t>
  </si>
  <si>
    <r>
      <t>kg CO</t>
    </r>
    <r>
      <rPr>
        <vertAlign val="subscript"/>
        <sz val="10"/>
        <color theme="1"/>
        <rFont val="Calibri"/>
        <family val="2"/>
        <scheme val="minor"/>
      </rPr>
      <t xml:space="preserve">2 </t>
    </r>
    <r>
      <rPr>
        <sz val="10"/>
        <color theme="1"/>
        <rFont val="Calibri"/>
        <family val="2"/>
        <scheme val="minor"/>
      </rPr>
      <t>ekv/kWh</t>
    </r>
  </si>
  <si>
    <t>Sisestage ise vastava aasta kaugkütte eriheitetegur, mis avaldatakse AS Utilitase iseteenindusportaalis</t>
  </si>
  <si>
    <t>Kaugkütte võrgupiirkond - Tartu</t>
  </si>
  <si>
    <t>Tartu</t>
  </si>
  <si>
    <t>Sisestage ise vastava aasta kaugkütte eriheitetegur, mis avaldatakse AS Gren kodulehel https://gren.com/ee/soojuse-tootmise-naitajad/</t>
  </si>
  <si>
    <t>Kaugkütte võrgupiirkond - Pärnu</t>
  </si>
  <si>
    <t>Pärnu</t>
  </si>
  <si>
    <t>Oma keskküttekatla (lokaalkütte) kütuseliik</t>
  </si>
  <si>
    <t>Biomass/puit</t>
  </si>
  <si>
    <t>Freesturvas</t>
  </si>
  <si>
    <t>Kütteõli</t>
  </si>
  <si>
    <t>Maagaas</t>
  </si>
  <si>
    <t>Põlevkiviõli</t>
  </si>
  <si>
    <t>M1 - Sõidukikütused, M2 - Elekter</t>
  </si>
  <si>
    <t>Kütuseliik/elekter</t>
  </si>
  <si>
    <t>Bensiin, kaubik (l)</t>
  </si>
  <si>
    <t>Bensiin, sõiduauto (l)</t>
  </si>
  <si>
    <r>
      <t>kg CO</t>
    </r>
    <r>
      <rPr>
        <vertAlign val="subscript"/>
        <sz val="10"/>
        <color theme="1"/>
        <rFont val="Calibri"/>
        <family val="2"/>
        <scheme val="minor"/>
      </rPr>
      <t>2</t>
    </r>
    <r>
      <rPr>
        <sz val="10"/>
        <color theme="1"/>
        <rFont val="Calibri"/>
        <family val="2"/>
        <scheme val="minor"/>
      </rPr>
      <t xml:space="preserve"> ekv/l</t>
    </r>
  </si>
  <si>
    <t>Bio-CNG, sõiduauto (kg)</t>
  </si>
  <si>
    <r>
      <t>kg CO</t>
    </r>
    <r>
      <rPr>
        <vertAlign val="subscript"/>
        <sz val="10"/>
        <color theme="1"/>
        <rFont val="Calibri"/>
        <family val="2"/>
        <scheme val="minor"/>
      </rPr>
      <t>2</t>
    </r>
    <r>
      <rPr>
        <sz val="10"/>
        <color theme="1"/>
        <rFont val="Calibri"/>
        <family val="2"/>
        <scheme val="minor"/>
      </rPr>
      <t xml:space="preserve"> ekv/kg</t>
    </r>
  </si>
  <si>
    <t>Diisel, buss (l)</t>
  </si>
  <si>
    <t>Diisel, kaubik (l)</t>
  </si>
  <si>
    <t>Diisel, sõiduauto (l)</t>
  </si>
  <si>
    <t>Maagaas (CNG), sõiduauto (kg)</t>
  </si>
  <si>
    <t>Sõiduvahend (taastuvelekter)</t>
  </si>
  <si>
    <r>
      <t>kg CO</t>
    </r>
    <r>
      <rPr>
        <vertAlign val="subscript"/>
        <sz val="10"/>
        <color theme="1"/>
        <rFont val="Calibri"/>
        <family val="2"/>
        <scheme val="minor"/>
      </rPr>
      <t>2</t>
    </r>
    <r>
      <rPr>
        <sz val="10"/>
        <color theme="1"/>
        <rFont val="Calibri"/>
        <family val="2"/>
        <scheme val="minor"/>
      </rPr>
      <t xml:space="preserve"> ekv/kWh</t>
    </r>
  </si>
  <si>
    <t>CoM Default Emission Factors for the Member States of the European Union Dataset Version 2016</t>
  </si>
  <si>
    <t>Sõiduvahend (tavaelekter)</t>
  </si>
  <si>
    <t>Elering 2024. Elektrienergia segajäägi eriheide 2023</t>
  </si>
  <si>
    <t>Elering 2025. Elektrienergia segajäägi eriheide 2024</t>
  </si>
  <si>
    <t>Elering 2026. Elektrienergia segajäägi eriheide 2025</t>
  </si>
  <si>
    <t>Elering 2027. Elektrienergia segajäägi eriheide 2026</t>
  </si>
  <si>
    <t>Elering 2028. Elektrienergia segajäägi eriheide 2027</t>
  </si>
  <si>
    <t>Elering 2029. Elektrienergia segajäägi eriheide 2028</t>
  </si>
  <si>
    <t>M1 - Hajusheitmed</t>
  </si>
  <si>
    <t>F-gaas</t>
  </si>
  <si>
    <t xml:space="preserve">Globaalse </t>
  </si>
  <si>
    <t xml:space="preserve">soojenemise </t>
  </si>
  <si>
    <t>potentsiaal</t>
  </si>
  <si>
    <t>R-134a (HFC-134a)</t>
  </si>
  <si>
    <t>R-404A</t>
  </si>
  <si>
    <t>R-407A</t>
  </si>
  <si>
    <t>R-407C</t>
  </si>
  <si>
    <t>R-407F</t>
  </si>
  <si>
    <t>R-410A</t>
  </si>
  <si>
    <t>R-417A</t>
  </si>
  <si>
    <t>R-422A</t>
  </si>
  <si>
    <t>R-422D</t>
  </si>
  <si>
    <t>R-427A</t>
  </si>
  <si>
    <t>R-507A</t>
  </si>
  <si>
    <t>M3 - Tööreisid, tööle-koju liikumine</t>
  </si>
  <si>
    <t>Sõidukiliik</t>
  </si>
  <si>
    <t>Sõiduauto, keskmise suurusega (bensiin)</t>
  </si>
  <si>
    <r>
      <t>kg CO</t>
    </r>
    <r>
      <rPr>
        <vertAlign val="subscript"/>
        <sz val="10"/>
        <color theme="1"/>
        <rFont val="Calibri"/>
        <family val="2"/>
        <scheme val="minor"/>
      </rPr>
      <t>2</t>
    </r>
    <r>
      <rPr>
        <sz val="10"/>
        <color theme="1"/>
        <rFont val="Calibri"/>
        <family val="2"/>
        <scheme val="minor"/>
      </rPr>
      <t xml:space="preserve"> ekv/km</t>
    </r>
  </si>
  <si>
    <t>Sõiduauto, keskmise suurusega (diisel)</t>
  </si>
  <si>
    <t>Sõiduauto (bio-CNG)</t>
  </si>
  <si>
    <t>Eeldus: keskmise sõiduauto gaasitarbimine on 0,057 kg/km ning kasutades sõiduauto bio-CNG eriheitetegurit kg kohta</t>
  </si>
  <si>
    <t>Sõiduauto (taastuvelekter)</t>
  </si>
  <si>
    <t xml:space="preserve">CoM 2017 </t>
  </si>
  <si>
    <t>Sõiduauto (tavaelekter)</t>
  </si>
  <si>
    <t>Keskmine elektritarbimine: 0,2 kWh/km (Electric Vehicle Database), elektrienergia segajäägi eriheitetegur</t>
  </si>
  <si>
    <t>Takso, keskmine</t>
  </si>
  <si>
    <t>Buss, kaugliin (Eesti ja rahvusvaheline)</t>
  </si>
  <si>
    <r>
      <t>kg CO</t>
    </r>
    <r>
      <rPr>
        <vertAlign val="subscript"/>
        <sz val="10"/>
        <color theme="1"/>
        <rFont val="Calibri"/>
        <family val="2"/>
        <scheme val="minor"/>
      </rPr>
      <t>2</t>
    </r>
    <r>
      <rPr>
        <sz val="10"/>
        <color theme="1"/>
        <rFont val="Calibri"/>
        <family val="2"/>
        <scheme val="minor"/>
      </rPr>
      <t xml:space="preserve"> ekv/sõitja-km</t>
    </r>
  </si>
  <si>
    <t>Buss, linnaliin (Eesti)</t>
  </si>
  <si>
    <t>Buss, linnaliin (Tallinn)</t>
  </si>
  <si>
    <t>Buss, maakonnaliin</t>
  </si>
  <si>
    <t>Rong, Eesti linnalähirong (elektrirong)</t>
  </si>
  <si>
    <t>Rong, Eesti-sisene kaugliin (diiselrong)</t>
  </si>
  <si>
    <t>Parvlaev, reisi-kaubalaev (nt Tallinn-Helsingi/Stockholm)</t>
  </si>
  <si>
    <t>UK Government GHG Conversion Factors for Company Reporting 2023, ferry, foot passenger</t>
  </si>
  <si>
    <t>UK Government GHG Conversion Factors for Company Reporting 2024, ferry, foot passenger</t>
  </si>
  <si>
    <t>UK Government GHG Conversion Factors for Company Reporting 2025, ferry, foot passenger</t>
  </si>
  <si>
    <t>UK Government GHG Conversion Factors for Company Reporting 2026, ferry, foot passenger</t>
  </si>
  <si>
    <t>UK Government GHG Conversion Factors for Company Reporting 2027, ferry, foot passenger</t>
  </si>
  <si>
    <t>UK Government GHG Conversion Factors for Company Reporting 2028, ferry, foot passenger</t>
  </si>
  <si>
    <t>Lennuk, Euroopa-sisene lend (kuni 3700 km), keskmine</t>
  </si>
  <si>
    <r>
      <t>kg CO</t>
    </r>
    <r>
      <rPr>
        <vertAlign val="subscript"/>
        <sz val="10"/>
        <rFont val="Cambria"/>
        <family val="1"/>
      </rPr>
      <t xml:space="preserve">2 </t>
    </r>
    <r>
      <rPr>
        <sz val="10"/>
        <rFont val="Cambria"/>
        <family val="1"/>
      </rPr>
      <t>ekv/sõitja-km</t>
    </r>
  </si>
  <si>
    <t>UK Government GHG Conversion Factors for Company Reporting 2023, short-haul, average passenger</t>
  </si>
  <si>
    <t>UK Government GHG Conversion Factors for Company Reporting 2024, short-haul, average passenger</t>
  </si>
  <si>
    <t>UK Government GHG Conversion Factors for Company Reporting 2025, short-haul, average passenger</t>
  </si>
  <si>
    <t>UK Government GHG Conversion Factors for Company Reporting 2026, short-haul, average passenger</t>
  </si>
  <si>
    <t>UK Government GHG Conversion Factors for Company Reporting 2027, short-haul, average passenger</t>
  </si>
  <si>
    <t>UK Government GHG Conversion Factors for Company Reporting 2028, short-haul, average passenger</t>
  </si>
  <si>
    <t>Tramm, troll (Eesti)</t>
  </si>
  <si>
    <t>kg CO2 ekv/km</t>
  </si>
  <si>
    <t>Elektrijalgratas/-tõukeratas (tavaelekter)</t>
  </si>
  <si>
    <t>Keskmine elektritarbimine: 0,0124 kWh/km (elektrijalgratta tootja ja elektritõukejalgratta tootja andmed), elektrienergia segajäägi eriheitetegur</t>
  </si>
  <si>
    <t>Elektrijalgratas/-tõukeratas, sh sõidujagamisplatvormidelt (taastuvelekter)</t>
  </si>
  <si>
    <t>Jalgsi liikumine</t>
  </si>
  <si>
    <t>‒</t>
  </si>
  <si>
    <t>M3 - Sisseostetud transporditeenus</t>
  </si>
  <si>
    <t>Kaubik (bensiin), km</t>
  </si>
  <si>
    <t>Kaubik (bensiin), tonn-km</t>
  </si>
  <si>
    <r>
      <t>kg CO</t>
    </r>
    <r>
      <rPr>
        <vertAlign val="subscript"/>
        <sz val="10"/>
        <color theme="1"/>
        <rFont val="Calibri"/>
        <family val="2"/>
        <scheme val="minor"/>
      </rPr>
      <t>2</t>
    </r>
    <r>
      <rPr>
        <sz val="10"/>
        <color theme="1"/>
        <rFont val="Calibri"/>
        <family val="2"/>
        <scheme val="minor"/>
      </rPr>
      <t xml:space="preserve"> ekv/tonn-km</t>
    </r>
  </si>
  <si>
    <t>Arvestuslik keskmine koormakaal 1,2 t (LIPASTO arvutusvalem)</t>
  </si>
  <si>
    <t>Kaubik (diisel), km</t>
  </si>
  <si>
    <t>Kaubik (diisel), tonn-km</t>
  </si>
  <si>
    <t>Kaubik (taastuvelekter), km</t>
  </si>
  <si>
    <t>Kaubik (taastuvelekter), tonn-km</t>
  </si>
  <si>
    <t>Kaubik (tavaelekter), km</t>
  </si>
  <si>
    <t>Elektrikaubikute keskmine elektritarbimine 0,25 kWh/km (Volkswagen e-Crafter), elektrienergia segajäägi eriheitetegur</t>
  </si>
  <si>
    <t>Kaubik (tavaelekter), tonn-km</t>
  </si>
  <si>
    <t>Elektrikaubikute keskmise elektritarbimise alusel, arvestuslik keskmine koormakaal 1,2 t</t>
  </si>
  <si>
    <t>Buss</t>
  </si>
  <si>
    <t>Väikebuss</t>
  </si>
  <si>
    <t>M3 - Vee- ja materjalikasutus</t>
  </si>
  <si>
    <t>Vesi ja paber</t>
  </si>
  <si>
    <r>
      <t>kg CO</t>
    </r>
    <r>
      <rPr>
        <vertAlign val="subscript"/>
        <sz val="10"/>
        <color theme="1"/>
        <rFont val="Calibri"/>
        <family val="2"/>
        <scheme val="minor"/>
      </rPr>
      <t>2</t>
    </r>
    <r>
      <rPr>
        <sz val="10"/>
        <color theme="1"/>
        <rFont val="Calibri"/>
        <family val="2"/>
        <scheme val="minor"/>
      </rPr>
      <t xml:space="preserve"> ekv/m</t>
    </r>
    <r>
      <rPr>
        <vertAlign val="superscript"/>
        <sz val="10"/>
        <color theme="1"/>
        <rFont val="Calibri"/>
        <family val="2"/>
        <scheme val="minor"/>
      </rPr>
      <t>3</t>
    </r>
  </si>
  <si>
    <r>
      <t>kg CO</t>
    </r>
    <r>
      <rPr>
        <vertAlign val="subscript"/>
        <sz val="10"/>
        <color theme="1"/>
        <rFont val="Calibri"/>
        <family val="2"/>
        <scheme val="minor"/>
      </rPr>
      <t>2</t>
    </r>
    <r>
      <rPr>
        <sz val="10"/>
        <color theme="1"/>
        <rFont val="Calibri"/>
        <family val="2"/>
        <scheme val="minor"/>
      </rPr>
      <t xml:space="preserve"> ekv/t</t>
    </r>
  </si>
  <si>
    <t>UK Government GHG Conversion Factors for Company Reporting 2023, paper and board: paper, closed-loop source</t>
  </si>
  <si>
    <t>UK Government GHG Conversion Factors for Company Reporting 2024, paper and board: paper, closed-loop source</t>
  </si>
  <si>
    <t>UK Government GHG Conversion Factors for Company Reporting 2026, paper and board: paper, closed-loop source</t>
  </si>
  <si>
    <t>UK Government GHG Conversion Factors for Company Reporting 2027, paper and board: paper, closed-loop source</t>
  </si>
  <si>
    <t>UK Government GHG Conversion Factors for Company Reporting 2028, paper and board: paper, closed-loop source</t>
  </si>
  <si>
    <t>M3 - Jäätmed</t>
  </si>
  <si>
    <t>Jäätmeliik</t>
  </si>
  <si>
    <t>Liigiti kogutud biojäätmed</t>
  </si>
  <si>
    <t>Liigiti kogutud klaaspakend</t>
  </si>
  <si>
    <t>Liigiti kogutud paber ja kartong</t>
  </si>
  <si>
    <t>Liigiti kogutud segapakend</t>
  </si>
  <si>
    <t>Segaolmejäätmed, prügilasse ladestamine</t>
  </si>
  <si>
    <t xml:space="preserve">Arvutatud olelusringi hindamise mudeliga WAMPS (sisaldab nii segaolmejäätmete kogumise kui ladestamisega seotud KHG heiteid) </t>
  </si>
  <si>
    <t>Segaolmejäätmed, põletamine</t>
  </si>
  <si>
    <t>M3 - Kodukontor</t>
  </si>
  <si>
    <t>Kodukontori elektritarbimine</t>
  </si>
  <si>
    <t>Väärtus</t>
  </si>
  <si>
    <t>Keskmine töökoha elektritarbimine (süle- või lauaarvuti, monitor, telefon ja printer)</t>
  </si>
  <si>
    <t>W</t>
  </si>
  <si>
    <t>EcoAct 2020, Homeworking emissions Whitepaper</t>
  </si>
  <si>
    <t>Valgustus</t>
  </si>
  <si>
    <t>Paberi kaal</t>
  </si>
  <si>
    <t>A0</t>
  </si>
  <si>
    <t>Kaugkütte võrgupiirkonna rippmenüü:</t>
  </si>
  <si>
    <t>Muu</t>
  </si>
  <si>
    <t>Vesi (joogivee ja reovee puhastus)</t>
  </si>
  <si>
    <t>Hübriidauto</t>
  </si>
  <si>
    <t>Sõiduauto (maagaas CNG)</t>
  </si>
  <si>
    <t>Gaasiauto (biometaan)</t>
  </si>
  <si>
    <t>Gaasiauto (maagaas)</t>
  </si>
  <si>
    <t>Sõiduauto, keskmise suurusega (hübriid: bensiin/elekter - keskmine)</t>
  </si>
  <si>
    <t>ROHELISE MUUSEUMI KESKKONNAJALAJÄLJE ARVUTUSMUDEL</t>
  </si>
  <si>
    <t>Rohelise muuseumi keskkonnajalajälje arvutusmudel võimaldab mõõta ja hinnata peamisi muuseumitegevusega seotud keskkonnaaspekte (energia- ja materjalivood) ning eraldi muuseumitegevusega seotud KHG jalajälge (mõjuala 1, 2 ja 3 olulisemate heiteallikate/tegevuskategooriate kaupa).</t>
  </si>
  <si>
    <t>MUUSEUMI ÜLDANDMED</t>
  </si>
  <si>
    <r>
      <t>Muuseumi köetav üldpind (m</t>
    </r>
    <r>
      <rPr>
        <b/>
        <vertAlign val="superscript"/>
        <sz val="10"/>
        <color theme="1"/>
        <rFont val="Calibri"/>
        <family val="2"/>
        <scheme val="minor"/>
      </rPr>
      <t>2</t>
    </r>
    <r>
      <rPr>
        <b/>
        <sz val="10"/>
        <color theme="1"/>
        <rFont val="Calibri"/>
        <family val="2"/>
        <scheme val="minor"/>
      </rPr>
      <t>)</t>
    </r>
  </si>
  <si>
    <t>Elektritarbimine külastaja kohta (kWh/in)</t>
  </si>
  <si>
    <t>Külastajate arv</t>
  </si>
  <si>
    <t>ROHELISE MUUSEUMI KASVUHOONEGAASIDE JALAJÄLJE KOONDTULEMUS</t>
  </si>
  <si>
    <r>
      <t>KHG jalajälg külastaja kohta (t CO</t>
    </r>
    <r>
      <rPr>
        <b/>
        <vertAlign val="subscript"/>
        <sz val="10"/>
        <color theme="0"/>
        <rFont val="Calibri"/>
        <family val="2"/>
        <scheme val="minor"/>
      </rPr>
      <t>2</t>
    </r>
    <r>
      <rPr>
        <b/>
        <sz val="10"/>
        <color theme="0"/>
        <rFont val="Calibri"/>
        <family val="2"/>
        <scheme val="minor"/>
      </rPr>
      <t xml:space="preserve"> ekv/in)</t>
    </r>
  </si>
  <si>
    <r>
      <t xml:space="preserve">Muuseumi elektrienergia tarbimine on oluline keskkonnaaspekt, mida tuleks kõikide muuseumide puhul (juhul, kui see on võimalik) mõõta ja perioodiliselt seirata.
Elektrienergia tarbimise andmed (kWh) on üldjuhul kättesaadavad vastavatel arvetel või muudel raamatupidamisdokumentidel.
Kui on otsustatud arvesse võtta ka kodukontorite elektritarbimist, siis tuleks sisse viia vastav arvestussüsteem. Allolevas tabelis on selleks kasutatud EcoAct metoodikat (Homeworking emissions whitepaper 2020), mis arvestab keskmiseks kodutöökoha elektritarbimiseks 150 W (arvuti, telefon, printer, valgustus), korrutades selle keskmise töötundide arvuga kuus (160) ja kodukontorites täistööajale taandatud töötajate arvuga. Selline keskmistatud lähenemine lubab lihtsama vaevaga kodukontorite elektritarbimist arvutada.
KHG jalajälje arvutamiseks tuleb alloleva tabeli kahes viimases veerus </t>
    </r>
    <r>
      <rPr>
        <sz val="11"/>
        <rFont val="Calibri"/>
        <family val="2"/>
      </rPr>
      <t>'</t>
    </r>
    <r>
      <rPr>
        <i/>
        <sz val="11"/>
        <rFont val="Calibri"/>
        <family val="2"/>
        <scheme val="minor"/>
      </rPr>
      <t>KHG JALAJÄLJE ARVUTAMISE ANDMED</t>
    </r>
    <r>
      <rPr>
        <sz val="11"/>
        <rFont val="Calibri"/>
        <family val="2"/>
      </rPr>
      <t>'</t>
    </r>
    <r>
      <rPr>
        <i/>
        <sz val="11"/>
        <rFont val="Calibri"/>
        <family val="2"/>
        <scheme val="minor"/>
      </rPr>
      <t xml:space="preserve"> sisestada taastuv- ehk roheelektri osakaal (taastuvelektri osakaal protsendina aastas tarbitud elektrist, mis võib olla nii ise toodetud ja tarbitud, nt oma päikesepaneelidest toodetud elekter, kui ka teenusepakkujalt ostetud elekter). Kodukontorite puhul tuleks arvutada keskmine kodukontorites kasutatud taastuvelektri osakaal, mis eeldab kodukontoris töötavate inimeste küsitlemist, et nende taastuvenergia kasutamist arvestusaastal välja selgitada.
Tabeli kõrval kuvatakse elektrienergia tarbimise kuupõhised andmed joongraafikuna.</t>
    </r>
  </si>
  <si>
    <t>Elektrienergia tarbimine külastaja kohta (kWh/in)</t>
  </si>
  <si>
    <r>
      <t>Soojusenergia tarbimine muuseumi ruutmeetri kohta (kWh/m</t>
    </r>
    <r>
      <rPr>
        <vertAlign val="superscript"/>
        <sz val="10"/>
        <rFont val="Calibri"/>
        <family val="2"/>
      </rPr>
      <t>²</t>
    </r>
    <r>
      <rPr>
        <sz val="10"/>
        <rFont val="Calibri"/>
        <family val="2"/>
        <charset val="186"/>
        <scheme val="minor"/>
      </rPr>
      <t>)</t>
    </r>
  </si>
  <si>
    <t>Elektritarbimine muuseumis (kWh)</t>
  </si>
  <si>
    <t>Soojusenergia tarbimine muuseumis (kWh)</t>
  </si>
  <si>
    <r>
      <t>Veetarbimine muuseumis (m</t>
    </r>
    <r>
      <rPr>
        <vertAlign val="superscript"/>
        <sz val="10"/>
        <rFont val="Tahoma"/>
        <family val="2"/>
      </rPr>
      <t>³</t>
    </r>
    <r>
      <rPr>
        <sz val="10"/>
        <rFont val="Calibri"/>
        <family val="2"/>
        <scheme val="minor"/>
      </rPr>
      <t>)</t>
    </r>
  </si>
  <si>
    <r>
      <t>Veetarbimine külastaja kohta (m</t>
    </r>
    <r>
      <rPr>
        <vertAlign val="superscript"/>
        <sz val="10"/>
        <rFont val="Tahoma"/>
        <family val="2"/>
      </rPr>
      <t>³</t>
    </r>
    <r>
      <rPr>
        <sz val="10"/>
        <rFont val="Calibri"/>
        <family val="2"/>
        <charset val="186"/>
        <scheme val="minor"/>
      </rPr>
      <t>/in)</t>
    </r>
  </si>
  <si>
    <t>Olmejäätmete teke külastaja kohta (kg/in)</t>
  </si>
  <si>
    <t>TÖÖSÕIDUD MUUSEUMI OMA SÕIDUKITEGA</t>
  </si>
  <si>
    <r>
      <t>Muuseumi töötajate tööreisid võivad moodustada olulise osa muuseumiga seotud KHG heitest.
Tööreisidest/lähetustest tuleneva KHG jalajälje hindamiseks sisestage siia lehele aasta jooksul tööreisidel sõidukitega läbitud vahemaa. Autode puhul on võimalik eraldi arvestada bensiini-, diisli-, gaasi-, hübriid- või elektriautodega läbitud vahemaa. Elektriautode puhul märkida, kas laadimiseks kasutati tavaelektrit või taastuvat elektrit. Andmete sisestamine (tööreisideks kasutatavate sõidukite ja läbitud vahemaade igaaastased koondandmed) eeldab, et organisatsioon peab eraldi arvestust selliste andmete kogumiseks oma töötajate tööreiside/lähetuste dokumenteerimisel. Kui sellist süsteemi ei ole, siis tuleks see muuseumis esmalt sisse viia.
Ühissõidukite puhul on vaja sisestada vastava sõidukiliigiga läbitud sõitjakilomeetrid (üks sõitjakilomeeter (sõitja-km) on ühe sõitja vedamine ühe kilomeetri kaugusele). 
Kui soovite tööreisidest tuleneva KHG heitkoguse ise välja arvutada (nt kui teil on tööreiside KHG jalajälje arvutamise süsteem juba eraldi olemas), siis sisestage vastava sõidukiliigi kasutamisest tulenev KHG heide (tonni CO</t>
    </r>
    <r>
      <rPr>
        <i/>
        <vertAlign val="subscript"/>
        <sz val="11"/>
        <rFont val="Calibri"/>
        <family val="2"/>
        <scheme val="minor"/>
      </rPr>
      <t>2</t>
    </r>
    <r>
      <rPr>
        <i/>
        <sz val="11"/>
        <rFont val="Calibri"/>
        <family val="2"/>
        <scheme val="minor"/>
      </rPr>
      <t xml:space="preserve"> ekvivalenti) veergu </t>
    </r>
    <r>
      <rPr>
        <sz val="11"/>
        <rFont val="Calibri"/>
        <family val="2"/>
      </rPr>
      <t>'</t>
    </r>
    <r>
      <rPr>
        <i/>
        <sz val="11"/>
        <rFont val="Calibri"/>
        <family val="2"/>
        <scheme val="minor"/>
      </rPr>
      <t xml:space="preserve">KHG HEITKOGUS (ise välja arvutatuna)'. </t>
    </r>
  </si>
  <si>
    <r>
      <t xml:space="preserve">Siia lehele saab sisestada aasta jooksul tehtud tööle-koju sõidud sõidukitega, mis ei kuulu muuseumile. Ka siin tuleks sisse viia perioodiline töötajate tööle-koju liikumise arvestuse süsteem, mis lubaks vähemalt üldistatud kujul saada andmeid, kuidas ja milliste sõiduvahenditega töötajad tööl käivad. Sõitude kohta on kõige lihtsam saada andmeid töötajate küsitluse kaudu (sh küsida, kui pikk on keskmiselt töötaja tööle ja tagasi koju liikumise vahemaa ning kuidas/milliseid sõiduvahendeid töötaja tööle-koju liikumisel aasta jooksul kasutab). Saadud andmed – töötajate arvestusaastal läbitud vahemaa kokku sõiduvahendite kaupa – tuleb sisestada alloleva tabeli veergu </t>
    </r>
    <r>
      <rPr>
        <i/>
        <sz val="11"/>
        <rFont val="Calibri"/>
        <family val="2"/>
      </rPr>
      <t xml:space="preserve">'TÖÖTAJATE </t>
    </r>
    <r>
      <rPr>
        <i/>
        <sz val="11"/>
        <rFont val="Calibri"/>
        <family val="2"/>
        <scheme val="minor"/>
      </rPr>
      <t>LÄBITUD VAHEMAA KOKKU (km)'.</t>
    </r>
  </si>
  <si>
    <r>
      <rPr>
        <i/>
        <sz val="11"/>
        <rFont val="Calibri"/>
        <family val="2"/>
        <scheme val="minor"/>
      </rPr>
      <t>Siin lehel võetakse kokku nii muuseumi energiatarbimisest, transpordist, hajusheitmetest, vee- ja paberikasutusest kui ka olmejäätmetest tulenev KHG jalajälg. Tulemused on esitatud mõjualade kaupa (vt mõjualade jaotamise metoodilist selgitust:
(</t>
    </r>
    <r>
      <rPr>
        <i/>
        <u/>
        <sz val="11"/>
        <color theme="10"/>
        <rFont val="Calibri"/>
        <family val="2"/>
        <scheme val="minor"/>
      </rPr>
      <t>https://kliimaministeerium.ee/organisatsioonide-khg-jalajalg</t>
    </r>
    <r>
      <rPr>
        <i/>
        <sz val="11"/>
        <rFont val="Calibri"/>
        <family val="2"/>
        <scheme val="minor"/>
      </rPr>
      <t>)
Tabeli kõige alumises reas tuuakse välja muuseumi KHG jalajälg arvestatuna ühe külastaja kohta.</t>
    </r>
  </si>
  <si>
    <t>Muuseumitöötajate arv kokku ‒ nii muuseumis kohapeal kui ka kodukontoris töötavad inimesed (taandatud täistööajale)</t>
  </si>
  <si>
    <r>
      <t>Veetarbimine külastaja kohta (m</t>
    </r>
    <r>
      <rPr>
        <vertAlign val="superscript"/>
        <sz val="10"/>
        <color theme="1"/>
        <rFont val="Calibri"/>
        <family val="2"/>
        <scheme val="minor"/>
      </rPr>
      <t>3</t>
    </r>
    <r>
      <rPr>
        <sz val="10"/>
        <color theme="1"/>
        <rFont val="Calibri"/>
        <family val="2"/>
        <scheme val="minor"/>
      </rPr>
      <t>/in)</t>
    </r>
  </si>
  <si>
    <t>Veetarbimine muuseumis (m³)</t>
  </si>
  <si>
    <t>Töösõidud muuseumi sõidukitega</t>
  </si>
  <si>
    <t>Muuseumi sõidukite kütusetarbimise KHG heitkogus kokku</t>
  </si>
  <si>
    <t>Muuseumi sõidukite elektritarbimise KHG heitkogus kokku</t>
  </si>
  <si>
    <t>Muuseumi sõidukite kütusetarbimine</t>
  </si>
  <si>
    <t xml:space="preserve">Muuseumi elektrienergia tarbimine </t>
  </si>
  <si>
    <t xml:space="preserve">Muuseumi soojusenergia tarbimine </t>
  </si>
  <si>
    <t>Muuseumi sõidukite elektritarbimine</t>
  </si>
  <si>
    <t>Muuseumi sõidukite kütus</t>
  </si>
  <si>
    <t>Muuseumi elekter</t>
  </si>
  <si>
    <t>Muuseumi küte</t>
  </si>
  <si>
    <t>Muuseumi elektriautod</t>
  </si>
  <si>
    <t>Oma keskküttekatla kütuseliigi rippmenüü:</t>
  </si>
  <si>
    <r>
      <rPr>
        <sz val="11"/>
        <rFont val="Calibri"/>
        <family val="2"/>
        <scheme val="minor"/>
      </rPr>
      <t>Käesolev mudel pakub raamistiku muuseumidele oma keskkonnajalajälje, sh kasvuhoonegaaside (KHG) jalajälje arvutamiseks ja seireks. Mudel on eelkõige mõeldud hoone ja üldise muuseumitööga seotud olulisemate keskkonnaaspektide/-mõjude (energiakasutus, veetarbimine, paberikasutus, jäätmeteke) mõõtmiseks ja aastapõhiseks KHG jalajälje hindamiseks, mis pakub aluse keskkonnaeesmärkide püstitamiseks ja oma keskkonnategevuse tulemuslikkuse järjepidevaks mõõtmiseks. Arvutusmudelit võib kasutada keskkonnajalajälje hindamise abivahendina rohelise muuseumi kontrollküsimustikus esitatud kriteeriumide täitmiseks.
Lisaks saavad muuseumid oma näituste ja seotud teenuste (nt trükised) jalajälge hinnata Eesti Kunstimuuseumi tellitud kestliku näituse mudeliga (</t>
    </r>
    <r>
      <rPr>
        <u/>
        <sz val="11"/>
        <color theme="10"/>
        <rFont val="Calibri"/>
        <family val="2"/>
        <scheme val="minor"/>
      </rPr>
      <t>https://kestliknaitus.ekm.ee/</t>
    </r>
    <r>
      <rPr>
        <sz val="11"/>
        <rFont val="Calibri"/>
        <family val="2"/>
        <scheme val="minor"/>
      </rPr>
      <t>). Seega need kaks mudelit täiendavad teineteist.</t>
    </r>
    <r>
      <rPr>
        <u/>
        <sz val="11"/>
        <color theme="10"/>
        <rFont val="Calibri"/>
        <family val="2"/>
        <scheme val="minor"/>
      </rPr>
      <t xml:space="preserve">
</t>
    </r>
    <r>
      <rPr>
        <sz val="11"/>
        <rFont val="Calibri"/>
        <family val="2"/>
        <scheme val="minor"/>
      </rPr>
      <t>Rohelise muuseumi keskkonnajalajälje arvutusmudeli valmimist rahastasid ICOM Eesti Rahvuskomitee ja Eesti Kultuurkapital.</t>
    </r>
  </si>
  <si>
    <r>
      <t>Veetarbimine on muuseumides mõnevõrra väiksema keskkonnamõjuga keskkonnaaspekt kui elektri tarbimine või küte, kuid siiski tuleks rohelise muuseumi puhul ka kasutatud vee kogust (juhul kui see on võimalik) mõõta ja perioodiliselt seirata. Ka veetarbimise andmed (m</t>
    </r>
    <r>
      <rPr>
        <i/>
        <vertAlign val="superscript"/>
        <sz val="11"/>
        <rFont val="Calibri"/>
        <family val="2"/>
        <scheme val="minor"/>
      </rPr>
      <t>3</t>
    </r>
    <r>
      <rPr>
        <i/>
        <sz val="11"/>
        <rFont val="Calibri"/>
        <family val="2"/>
        <scheme val="minor"/>
      </rPr>
      <t>) on üldjuhul kättesaadavad vastavatel arvetel või muudel raamatupidamisdokumentidel.
Veetarbimise andmed (m</t>
    </r>
    <r>
      <rPr>
        <i/>
        <vertAlign val="superscript"/>
        <sz val="11"/>
        <rFont val="Calibri"/>
        <family val="2"/>
        <scheme val="minor"/>
      </rPr>
      <t>3</t>
    </r>
    <r>
      <rPr>
        <i/>
        <sz val="11"/>
        <rFont val="Calibri"/>
        <family val="2"/>
        <scheme val="minor"/>
      </rPr>
      <t xml:space="preserve">) tuleks sisestada kuude kaupa allolevasse tabelisse. 
Kuna kodukontorites tarbitav veekogus on suhteliselt väike (sh on väike kodukontorite veetarbimise KHG jalajälg), siis käesolevas arvutusmudelis kodukontorite veetarbimist arvestusse ei kaasata. 
Veetarbimisest (sh reovee puhastamisest) tuleneva KHG jalajälje hindamiseks pole lisaandmeid vaja sisestada ja jalajälg arvutatakse automaatselt siin töölehel sisestatud tarbimiskoguse põhjal lehel </t>
    </r>
    <r>
      <rPr>
        <sz val="11"/>
        <rFont val="Calibri"/>
        <family val="2"/>
      </rPr>
      <t>'</t>
    </r>
    <r>
      <rPr>
        <i/>
        <sz val="11"/>
        <rFont val="Calibri"/>
        <family val="2"/>
      </rPr>
      <t>KHG JALAJÄLG KOOND</t>
    </r>
    <r>
      <rPr>
        <sz val="11"/>
        <rFont val="Calibri"/>
        <family val="2"/>
      </rPr>
      <t>'</t>
    </r>
    <r>
      <rPr>
        <i/>
        <sz val="11"/>
        <rFont val="Calibri"/>
        <family val="2"/>
        <scheme val="minor"/>
      </rPr>
      <t>.
Tabeli kõrval kuvatakse veekasutuse kuupõhised andmed joongraafikuna.</t>
    </r>
  </si>
  <si>
    <r>
      <t>Muuseumis tekkivate olmejäätmete kogus ja liigiti kogumise määr on oluline keskkonnaaspekt, mida tuleks rohelise muuseumi puhul mõõta ja perioodiliselt (kuupõhiselt) seirata. Jäätmete tekkekoguse teadasaamiseks on üldjuhul kaks võimalust.
1. Kui muuseumihoonel on oma jäätmekonteinerid, siis saab tekkinud olmejäätmete kogust kaudselt hinnata konteinerite mahu ja tühjendamise sageduse põhjal. Allolevasse tabelisse tuleks sisestada tekkinud segaolmejäätmete ja liigiti kogutud jäätmete maht (m</t>
    </r>
    <r>
      <rPr>
        <i/>
        <vertAlign val="superscript"/>
        <sz val="11"/>
        <color theme="1"/>
        <rFont val="Calibri"/>
        <family val="2"/>
        <scheme val="minor"/>
      </rPr>
      <t>3</t>
    </r>
    <r>
      <rPr>
        <i/>
        <sz val="11"/>
        <color theme="1"/>
        <rFont val="Calibri"/>
        <family val="2"/>
        <scheme val="minor"/>
      </rPr>
      <t xml:space="preserve">) kuus </t>
    </r>
    <r>
      <rPr>
        <sz val="11"/>
        <color theme="1"/>
        <rFont val="Calibri"/>
        <family val="2"/>
      </rPr>
      <t>‒</t>
    </r>
    <r>
      <rPr>
        <i/>
        <sz val="11"/>
        <color theme="1"/>
        <rFont val="Calibri"/>
        <family val="2"/>
        <scheme val="minor"/>
      </rPr>
      <t xml:space="preserve"> need andmed saab arvetelt. Tabelis teisendatakse maht massikaaluks (kg), kasutades järgmisi jäätmeliikide mahu ja massi teisendamise koefitsiente: </t>
    </r>
  </si>
  <si>
    <r>
      <t>Muuseumi soojusenergia ehk kütte tarbimine on oluline keskkonnaaspekt, mida tuleks samuti kõikide muuseumide puhul (juhul kui see on võimalik) mõõta ja perioodiliselt seirata. 
Soojusenergia tarbimise andmed (kWh) on üldjuhul kättesaadavad vastavatel arvetel või muudel raamatupidamisdokumentidel. Vajadusel võib neid andmeid küsida hoone haldajalt/rendileandjalt (kaudselt saab soojusenergia kasutamist arvestada muuseumi ruutmeetrite ja kogu hoone küttekulu põhjal). Soojusenergia/kütte tarbimise arvestust peetakse muuseumi köetava pinna kohta (kWh/m</t>
    </r>
    <r>
      <rPr>
        <i/>
        <vertAlign val="superscript"/>
        <sz val="11"/>
        <rFont val="Calibri"/>
        <family val="2"/>
        <scheme val="minor"/>
      </rPr>
      <t>2</t>
    </r>
    <r>
      <rPr>
        <i/>
        <sz val="11"/>
        <rFont val="Calibri"/>
        <family val="2"/>
        <scheme val="minor"/>
      </rPr>
      <t xml:space="preserve">).
Kui on soov arvutada soojusenergia/kütte tarbimisega seotud KHG jalajäljge, siis tuleb tabeli viimastes veergudes </t>
    </r>
    <r>
      <rPr>
        <sz val="11"/>
        <rFont val="Calibri"/>
        <family val="2"/>
      </rPr>
      <t>'</t>
    </r>
    <r>
      <rPr>
        <i/>
        <sz val="11"/>
        <rFont val="Calibri"/>
        <family val="2"/>
        <scheme val="minor"/>
      </rPr>
      <t>KHG JALAJÄLJE ARVUTAMISE ANDMED</t>
    </r>
    <r>
      <rPr>
        <sz val="11"/>
        <rFont val="Calibri"/>
        <family val="2"/>
      </rPr>
      <t>'</t>
    </r>
    <r>
      <rPr>
        <i/>
        <sz val="11"/>
        <rFont val="Calibri"/>
        <family val="2"/>
        <scheme val="minor"/>
      </rPr>
      <t xml:space="preserve"> valida rippmenüüst kaugkütte võrgupiirkond (juhul kui muuseumihoone kasutab kaugkütet) või oma keskküttekatlas/katlamajas kasutatav põhiline kütuseliik.
Tallinna, Tartu ja Pärnu võrgupiirkonnas asuvate muuseumide puhul (AS Utilitase ja AS Greni kliendid) on mudelisse vastava linna võrgupiirkonna CO</t>
    </r>
    <r>
      <rPr>
        <i/>
        <vertAlign val="subscript"/>
        <sz val="11"/>
        <rFont val="Calibri"/>
        <family val="2"/>
        <scheme val="minor"/>
      </rPr>
      <t>2</t>
    </r>
    <r>
      <rPr>
        <i/>
        <sz val="11"/>
        <rFont val="Calibri"/>
        <family val="2"/>
        <scheme val="minor"/>
      </rPr>
      <t xml:space="preserve"> eriheitetegur 2022. ja 2023. aasta kohta sisestatud. NB! 2024. aasta ja järgmiste aastate kaugkütte eriheitetegurid Tallinnas, Tartus ja Pärnus lisada ise töölehel 'KHG eriheitetegurid' asuvasse tabelisse. Muudes piirkondades asuvate muuseumide puhul tuleks kaugkütte eriheitetegur (kg CO</t>
    </r>
    <r>
      <rPr>
        <i/>
        <vertAlign val="subscript"/>
        <sz val="11"/>
        <rFont val="Calibri"/>
        <family val="2"/>
        <scheme val="minor"/>
      </rPr>
      <t>2</t>
    </r>
    <r>
      <rPr>
        <i/>
        <sz val="11"/>
        <rFont val="Calibri"/>
        <family val="2"/>
        <scheme val="minor"/>
      </rPr>
      <t xml:space="preserve"> ekv/kWh) küsida kaugkütte teenusepakkujalt (energiatarnijalt), juhul kui seda pole arvelt, iseteenindusest või kodulehelt võimalik saada, ja sisestada see alloleva tabeli veergu 'Kaugkütte võrgupiirkonna eriheitetegur'. 
Kui muuseumil on elektriküte ja te ei pea eraldi kütteks kuluva elektri arvestust, siis kajastub kogu elektri tarbimine töölehel 'ELEKTER'. 
Kuna üldjuhul kodukontorite küttekulu suuresti ei sõltu sellest, kas inimene töötab kodus või töökoha kontoris, siis kodukontorite puhul pole vaja eraldi soojuse tarbimise arvestust pidada ja sellega seotud KHG jalajälge hinnata.
Tabeli kõrval kuvatakse soojusenergia tarbimise kuupõhised andmed joongraafikuna.</t>
    </r>
  </si>
  <si>
    <t>Sisestage ise vastava aasta segajäägi eriheitetegur, mis avaldatakse iga aasta juunis eelmise aasta kohta lehel https://elering.ee/segajaak</t>
  </si>
  <si>
    <t>Kontoripaber</t>
  </si>
  <si>
    <t>KHG inventuuri aruanne 2024, arvestuslik katla kasutegur 90%</t>
  </si>
  <si>
    <t>KHG inventuuri aruanne 2028</t>
  </si>
  <si>
    <t>KHG inventuuri aruanne 2023, arvestuslik katla kasutegur 90%</t>
  </si>
  <si>
    <t>KHG inventuuri aruanne 2025</t>
  </si>
  <si>
    <t>KHG inventuuri aruanne 2026</t>
  </si>
  <si>
    <t>KHG inventuuri aruanne 2027</t>
  </si>
  <si>
    <t>KHG inventuuri aruanne 2024</t>
  </si>
  <si>
    <t>KHG inventuuri aruanne 2023, kütteväärtus ~31,82 MJ/l</t>
  </si>
  <si>
    <t>KHG inventuuri aruanne 2023, kütteväärtus 49 MJ/kg</t>
  </si>
  <si>
    <t>KHG inventuuri aruanne 2023, kütteväärtus ~35,69 MJ/l</t>
  </si>
  <si>
    <t>KHG inventuuri aruanne 2023</t>
  </si>
  <si>
    <t>Bensiini- ja diiselmootoriga sõiduautode keskmine eriheitetegur, KHG inventuuri aruanne 2023</t>
  </si>
  <si>
    <t>Bensiini- ja diiselmootoriga sõiduautode keskmine eriheitetegur, KHG inventuuri aruanne 2024</t>
  </si>
  <si>
    <t>Bensiini- ja diiselmootoriga sõiduautode keskmine eriheitetegur, KHG inventuuri aruanne 2025</t>
  </si>
  <si>
    <t>Bensiini- ja diiselmootoriga sõiduautode keskmine eriheitetegur, KHG inventuuri aruanne 2026</t>
  </si>
  <si>
    <t>Bensiini- ja diiselmootoriga sõiduautode keskmine eriheitetegur, KHG inventuuri aruanne 2027</t>
  </si>
  <si>
    <t>Bensiini- ja diiselmootoriga sõiduautode keskmine eriheitetegur, KHG inventuuri aruanne 2028</t>
  </si>
  <si>
    <t>Statistikaameti andmed 2022, KHG inventuuri aruanne 2023 (diiselbussi eriheitetegur)</t>
  </si>
  <si>
    <t>Statistikaameti andmed 2023, KHG inventuuri aruanne 2024 (diiselbussi eriheitetegur)</t>
  </si>
  <si>
    <t>Statistikaameti andmed 2024, KHG inventuuri aruanne 2025 (diiselbussi eriheitetegur)</t>
  </si>
  <si>
    <t>Statistikaameti andmed 2025, KHG inventuuri aruanne 2026 (diiselbussi eriheitetegur)</t>
  </si>
  <si>
    <t>Statistikaameti andmed 2026, KHG inventuuri aruanne 2027 (diiselbussi eriheitetegur)</t>
  </si>
  <si>
    <t>Statistikaameti andmed 2027, KHG inventuuri aruanne 2028 (diiselbussi eriheitetegur)</t>
  </si>
  <si>
    <t>Statistikaameti andmed 2022, KHG inventuuri aruanne 2023 (diisel- ja CNG-busside eriheitetegurid)</t>
  </si>
  <si>
    <t>Statistikaameti andmed 2023, KHG inventuuri aruanne 2024 (diisel- ja CNG-busside eriheitetegurid)</t>
  </si>
  <si>
    <t>Statistikaameti andmed 2024, KHG inventuuri aruanne 2025 (diisel- ja CNG-busside eriheitetegurid)</t>
  </si>
  <si>
    <t>Statistikaameti andmed 2025, KHG inventuuri aruanne 2026 (diisel- ja CNG-busside eriheitetegurid)</t>
  </si>
  <si>
    <t>Statistikaameti andmed 2026, KHG inventuuri aruanne 2027 (diisel- ja CNG-busside eriheitetegurid)</t>
  </si>
  <si>
    <t>Statistikaameti andmed 2027, KHG inventuuri aruanne 2028 (diisel- ja CNG-busside eriheitetegurid)</t>
  </si>
  <si>
    <t>AS TLT Tallinna linnaliinibusside andmed 2022 (diisel- ja gaasibusside keskmine), KHG inventuuri aruanne 2023 (diisel-, CNG- ja bio-CNG-busside eriheitetegurid)</t>
  </si>
  <si>
    <t>AS TLT Tallinna linnaliinibusside andmed 2023 (diisel- ja gaasibusside keskmine), KHG inventuuri aruanne 2024 (diisel-, CNG- ja bio-CNG-busside eriheitetegurid)</t>
  </si>
  <si>
    <t>AS TLT Tallinna linnaliinibusside andmed 2024 (diisel- ja gaasibusside keskmine), KHG inventuuri aruanne 2025 (diisel-, CNG- ja bio-CNG-busside eriheitetegurid)</t>
  </si>
  <si>
    <t>AS TLT Tallinna linnaliinibusside andmed 2025 (diisel- ja gaasibusside keskmine), KHG inventuuri aruanne 2026 (diisel-, CNG- ja bio-CNG-busside eriheitetegurid)</t>
  </si>
  <si>
    <t>AS TLT Tallinna linnaliinibusside andmed 2026 (diisel- ja gaasibusside keskmine), KHG inventuuri aruanne 2027 (diisel-, CNG- ja bio-CNG-busside eriheitetegurid)</t>
  </si>
  <si>
    <t>AS TLT Tallinna linnaliinibusside andmed 2027 (diisel- ja gaasibusside keskmine), KHG inventuuri aruanne 2028 (diisel-, CNG- ja bio-CNG-busside eriheitetegurid)</t>
  </si>
  <si>
    <t>AS Elroni andmed 2022, KHG inventuuri aruanne 2023 (rongidiisli eriheitetegur)</t>
  </si>
  <si>
    <t>AS Elroni andmed 2023, KHG inventuuri aruanne 2024 (rongidiisli eriheitetegur)</t>
  </si>
  <si>
    <t>AS Elroni andmed 2024, KHG inventuuri aruanne 2025 (rongidiisli eriheitetegur)</t>
  </si>
  <si>
    <t>AS Elroni andmed 2025, KHG inventuuri aruanne 2026 (rongidiisli eriheitetegur)</t>
  </si>
  <si>
    <t>AS Elroni andmed 2026, KHG inventuuri aruanne 2027 (rongidiisli eriheitetegur)</t>
  </si>
  <si>
    <t>AS Elroni andmed 2027, KHG inventuuri aruanne 2028 (rongidiisli eriheitetegur)</t>
  </si>
  <si>
    <t>Bussiteenuse pakkujad (keskmine kütusekulu l/km, maakondlik liin), KHG inventuuri aruanne 2023 (diiselbussi eriheitetegur)</t>
  </si>
  <si>
    <t>Bussiteenuse pakkujad (keskmine kütusekulu l/km, maakondlik liin), KHG inventuuri aruanne 2024 (diiselbussi eriheitetegur)</t>
  </si>
  <si>
    <t>Bussiteenuse pakkujad (keskmine kütusekulu l/km, maakondlik liin), KHG inventuuri aruanne 2025 (diiselbussi eriheitetegur)</t>
  </si>
  <si>
    <t>Bussiteenuse pakkujad (keskmine kütusekulu l/km, maakondlik liin), KHG inventuuri aruanne 2026 (diiselbussi eriheitetegur)</t>
  </si>
  <si>
    <t>Bussiteenuse pakkujad (keskmine kütusekulu l/km, maakondlik liin), KHG inventuuri aruanne 2027 (diiselbussi eriheitetegur)</t>
  </si>
  <si>
    <t>Bussiteenuse pakkujad (keskmine kütusekulu l/km, maakondlik liin), KHG inventuuri aruanne 2028 (diiselbussi eriheitetegur)</t>
  </si>
  <si>
    <t>KHG inventuuri aruanne 2023, kaubiku bensiini ja diisli kaalutud keskmine eriheitetegur km kohta</t>
  </si>
  <si>
    <t>KHG inventuuri aruanne 2024, kaubiku bensiini ja diisli kaalutud keskmine eriheitetegur km kohta</t>
  </si>
  <si>
    <t>KHG inventuuri aruanne 2025, kaubiku bensiini ja diisli kaalutud keskmine eriheitetegur km kohta</t>
  </si>
  <si>
    <t>KHG inventuuri aruanne 2026, kaubiku bensiini ja diisli kaalutud keskmine eriheitetegur km kohta</t>
  </si>
  <si>
    <t>KHG inventuuri aruanne 2027, kaubiku bensiini ja diisli kaalutud keskmine eriheitetegur km kohta</t>
  </si>
  <si>
    <t>KHG inventuuri aruanne 2028, kaubiku bensiini ja diisli kaalutud keskmine eriheitetegur km kohta</t>
  </si>
  <si>
    <t>Eeldused: jäätmeveoki kütusekulu 0,39 l/km, kogumisringi pikkus keskmiselt 250 km, keskmine koorma kaal 9 t, raskeveoki (diisel) eriheitetegur - KHG inventuuri aruanne 2023</t>
  </si>
  <si>
    <t>TalTech, SEI Tallinn 2019, raskeveoki (diisel) eriheitetegur - KHG inventuuri aruanne 2023</t>
  </si>
  <si>
    <t>Kerge kütteõli</t>
  </si>
  <si>
    <t>Põlevkiviõli raske fraktsioon</t>
  </si>
  <si>
    <t>KHG inventuuri aruanne 2024, kütteväärtus ~31,82 MJ/l</t>
  </si>
  <si>
    <t>KHG inventuuri aruanne 2024, kütteväärtus 49 MJ/kg</t>
  </si>
  <si>
    <t>KHG inventuuri aruanne 2024, kütteväärtus ~35,69 MJ/l</t>
  </si>
  <si>
    <t>Ostetud tualettpaberit (m)</t>
  </si>
  <si>
    <t>Lehträtik</t>
  </si>
  <si>
    <r>
      <t>kg CO</t>
    </r>
    <r>
      <rPr>
        <vertAlign val="subscript"/>
        <sz val="10"/>
        <color theme="1"/>
        <rFont val="Calibri"/>
        <family val="2"/>
        <scheme val="minor"/>
      </rPr>
      <t>2</t>
    </r>
    <r>
      <rPr>
        <sz val="10"/>
        <color theme="1"/>
        <rFont val="Calibri"/>
        <family val="2"/>
        <scheme val="minor"/>
      </rPr>
      <t xml:space="preserve"> ekv/leht</t>
    </r>
  </si>
  <si>
    <t>Toodete 344471 Katrin Classic Hand Towel (https://www.katrinsolutions.com/baltic/consumption_calculator) ja H2 Tork Xpress® Multifold (https://www.tork.com.ee/product/471103/taide/paberratik) keskmine eriheitetegur</t>
  </si>
  <si>
    <t>Tualettpaber</t>
  </si>
  <si>
    <r>
      <t>kg CO</t>
    </r>
    <r>
      <rPr>
        <vertAlign val="subscript"/>
        <sz val="10"/>
        <color theme="1"/>
        <rFont val="Calibri"/>
        <family val="2"/>
        <scheme val="minor"/>
      </rPr>
      <t>2</t>
    </r>
    <r>
      <rPr>
        <sz val="10"/>
        <color theme="1"/>
        <rFont val="Calibri"/>
        <family val="2"/>
        <scheme val="minor"/>
      </rPr>
      <t xml:space="preserve"> ekv/m</t>
    </r>
  </si>
  <si>
    <t>Toodete 106252 Katrin Classic Gigant Toilet M2 (https://www.katrinsolutions.com/baltic/consumption_calculator) ja Tork T8/T9 SmartOne® (https://www.tork.com.ee/product/472193/taide/tualettpaber)</t>
  </si>
  <si>
    <r>
      <t xml:space="preserve">Muuseumitegevuse olulisemad keskkonnaaspektid on välja toodud järgmiste energia- ja materjalivoogudena: 
</t>
    </r>
    <r>
      <rPr>
        <sz val="11"/>
        <rFont val="Calibri"/>
        <family val="2"/>
      </rPr>
      <t xml:space="preserve">• </t>
    </r>
    <r>
      <rPr>
        <b/>
        <sz val="11"/>
        <rFont val="Calibri"/>
        <family val="2"/>
        <scheme val="minor"/>
      </rPr>
      <t>ELEKTER</t>
    </r>
    <r>
      <rPr>
        <sz val="11"/>
        <rFont val="Calibri"/>
        <family val="2"/>
        <scheme val="minor"/>
      </rPr>
      <t xml:space="preserve"> </t>
    </r>
    <r>
      <rPr>
        <sz val="11"/>
        <rFont val="Calibri"/>
        <family val="2"/>
      </rPr>
      <t>‒</t>
    </r>
    <r>
      <rPr>
        <sz val="11"/>
        <rFont val="Calibri"/>
        <family val="2"/>
        <scheme val="minor"/>
      </rPr>
      <t xml:space="preserve"> muuseumi elektritarbimine
</t>
    </r>
    <r>
      <rPr>
        <b/>
        <sz val="11"/>
        <rFont val="Calibri"/>
        <family val="2"/>
        <scheme val="minor"/>
      </rPr>
      <t>• SOOJUS</t>
    </r>
    <r>
      <rPr>
        <sz val="11"/>
        <rFont val="Calibri"/>
        <family val="2"/>
        <scheme val="minor"/>
      </rPr>
      <t xml:space="preserve"> ‒ muuseumi soojusenergia tarbimine (küte ja jahutus)
</t>
    </r>
    <r>
      <rPr>
        <b/>
        <sz val="11"/>
        <rFont val="Calibri"/>
        <family val="2"/>
        <scheme val="minor"/>
      </rPr>
      <t>• VESI</t>
    </r>
    <r>
      <rPr>
        <sz val="11"/>
        <rFont val="Calibri"/>
        <family val="2"/>
        <scheme val="minor"/>
      </rPr>
      <t xml:space="preserve"> ‒ muuseumi veetarbimine
</t>
    </r>
    <r>
      <rPr>
        <b/>
        <sz val="11"/>
        <rFont val="Calibri"/>
        <family val="2"/>
        <scheme val="minor"/>
      </rPr>
      <t>• PABER</t>
    </r>
    <r>
      <rPr>
        <sz val="11"/>
        <rFont val="Calibri"/>
        <family val="2"/>
        <scheme val="minor"/>
      </rPr>
      <t xml:space="preserve"> ‒ kontori- ja pehmepaberi tarbimine
</t>
    </r>
    <r>
      <rPr>
        <b/>
        <sz val="11"/>
        <rFont val="Calibri"/>
        <family val="2"/>
        <scheme val="minor"/>
      </rPr>
      <t>• JÄÄTMED</t>
    </r>
    <r>
      <rPr>
        <sz val="11"/>
        <rFont val="Calibri"/>
        <family val="2"/>
        <scheme val="minor"/>
      </rPr>
      <t xml:space="preserve"> ‒ muuseumis tekkiv olmejäätmete kogus ja jäätmete liigiti kogumine
Need on klassikalised keskkonnaaspektid, mida tuleks muuseumi tasandil regulaarselt mõõta, et hinnata muuseumi keskkonnajalajälge. Kui soovitakse arvestust pidada ka kodukontorite elektritarbimise kohta, siis tuleb selleks vastav andmekogumissüsteem sisse seada.
Nimetatud keskkonnaaspektide/-mõõdikute regulaarne (aastapõhine) seire lubab muuseumil seada ka asjakohaseid keskkonnaeesmärke ning hinnata oma keskkonnategevuse (sh rakendatud meetmete) tulemuslikkust.
Muuseum peab oma tegevusega seotud tarbimisandmed (üldjuhul saab neid arvetelt või muudelt raamatupidamisdokumentidelt) sisestama soovitatavalt igakuiselt (v.a ostetud paberi kogus) mudeli töölehtedel olevatesse arvestustabelitesse. Vastavatel lehtedel on toodud juhised andmete sisestamiseks. Kõikide keskkonnaaspektidega seotud tarbimis-/tekkekoguste tulemused võetakse aastate kaupa kokku ´KOOND´ lehel.
NB! Alati ei pruugi olla võimalik koguda muuseumi kohta kõiki asjakohased andmeid (nt tarbitud elektri- või soojusenergia kogused või olmejäätmete kogused või liigiti kogutud jäätmete kogused), kui muuseumil ei ole oma energia-/veemõõdikuid või asutakse suuremas hoones, kus asutuste jäätmed liiguvad ühistesse jäätmekonteineritesse. Sellisel juhul ei saa kõiki keskkonnaaspekte mõõta ja need võib arvestusest välja jätta. Küll aga tuleks muuseumi keskkonnajalajälje (eelkõige KHG jalajälje) tulemuse kommunikeerimisel lisada juurde selgitus, kui üks või teine energia-, vee-, jäätme- või materjalivoo andmestik ei ole arvutustesse lisatud.</t>
    </r>
  </si>
  <si>
    <t>A4 (80 g/m²)</t>
  </si>
  <si>
    <t>Elering 2022. Elektrienergia segajäägi eriheide 2021</t>
  </si>
  <si>
    <t>KHG inventuuri aruanne 2022, arvestuslik katla kasutegur 90%</t>
  </si>
  <si>
    <t>KHG inventuuri aruanne 2022, kütteväärtus ~31,82 MJ/l</t>
  </si>
  <si>
    <t>KHG inventuuri aruanne 2022, kütteväärtus 49 MJ/kg</t>
  </si>
  <si>
    <t>KHG inventuuri aruanne 2022, kütteväärtus ~35,69 MJ/l</t>
  </si>
  <si>
    <t>KHG inventuuri aruanne 2022</t>
  </si>
  <si>
    <r>
      <t>kg CO</t>
    </r>
    <r>
      <rPr>
        <vertAlign val="subscript"/>
        <sz val="10"/>
        <rFont val="Calibri"/>
        <family val="2"/>
        <scheme val="minor"/>
      </rPr>
      <t>2</t>
    </r>
    <r>
      <rPr>
        <sz val="10"/>
        <rFont val="Calibri"/>
        <family val="2"/>
        <scheme val="minor"/>
      </rPr>
      <t xml:space="preserve"> ekv/km</t>
    </r>
  </si>
  <si>
    <r>
      <t>kg CO</t>
    </r>
    <r>
      <rPr>
        <vertAlign val="subscript"/>
        <sz val="10"/>
        <rFont val="Calibri"/>
        <family val="2"/>
        <scheme val="minor"/>
      </rPr>
      <t>2</t>
    </r>
    <r>
      <rPr>
        <sz val="10"/>
        <rFont val="Calibri"/>
        <family val="2"/>
        <scheme val="minor"/>
      </rPr>
      <t xml:space="preserve"> ekv/sõitja-km</t>
    </r>
  </si>
  <si>
    <t>Statistikaameti andmed 2021, KHG inventuuri aruanne 2022 (diiselbussi eriheitetegur)</t>
  </si>
  <si>
    <t>Statistikaameti andmed 2021, KHG inventuuri aruanne 2022 (diisel- ja CNG-busside eriheitetegurid)</t>
  </si>
  <si>
    <t>AS TLT Tallinna linnaliinibusside andmed 2021 (diisel- ja gaasibusside keskmine), KHG inventuuri aruanne 2022 (diisel-, CNG- ja bio-CNG-busside eriheitetegurid)</t>
  </si>
  <si>
    <t>AS Elroni andmed 2021, KHG inventuuri aruanne 2022 (rongidiisli eriheitetegur)</t>
  </si>
  <si>
    <t>UK Government GHG Conversion Factors for Company Reporting 2022, ferry, foot passenger</t>
  </si>
  <si>
    <t>UK Government GHG Conversion Factors for Company Reporting 2022, short-haul, average passenger</t>
  </si>
  <si>
    <t>Bussiteenuse pakkujad (keskmine kütusekulu l/km, maakondlik liin), KHG inventuuri aruanne 2022 (diiselbussi eriheitetegur)</t>
  </si>
  <si>
    <t>KHG inventuuri aruanne 2022, kaubiku bensiini ja diisli kaalutud keskmine eriheitetegur km kohta</t>
  </si>
  <si>
    <t>UK Government GHG Conversion Factors for Company Reporting 2022, paper and board: paper, closed-loop source</t>
  </si>
  <si>
    <r>
      <rPr>
        <i/>
        <sz val="11"/>
        <rFont val="Calibri"/>
        <family val="2"/>
        <scheme val="minor"/>
      </rPr>
      <t>KHG jalajälje arvutamise aluseks olevad eriheitetegurid põhinevad Kliimaministeeriumi poolt kinnitatud vastaval andmebaasil (</t>
    </r>
    <r>
      <rPr>
        <i/>
        <u/>
        <sz val="11"/>
        <color theme="10"/>
        <rFont val="Calibri"/>
        <family val="2"/>
        <scheme val="minor"/>
      </rPr>
      <t>https://kliimaministeerium.ee/organisatsioonide-khg-jalajalg</t>
    </r>
    <r>
      <rPr>
        <i/>
        <sz val="11"/>
        <rFont val="Calibri"/>
        <family val="2"/>
        <scheme val="minor"/>
      </rPr>
      <t>). 
Elektrienergia ja kaugkütte vastava võrgupiirkonna heitetegurid saab ise sisestada tabelis toodud allikate põhjal. Ülejäänud eriheitetegurite muudatustest anname eraldi teada.</t>
    </r>
  </si>
  <si>
    <r>
      <t>kg CO</t>
    </r>
    <r>
      <rPr>
        <vertAlign val="subscript"/>
        <sz val="10"/>
        <rFont val="Calibri"/>
        <family val="2"/>
        <scheme val="minor"/>
      </rPr>
      <t>2</t>
    </r>
    <r>
      <rPr>
        <sz val="10"/>
        <rFont val="Calibri"/>
        <family val="2"/>
        <scheme val="minor"/>
      </rPr>
      <t xml:space="preserve"> ekv/l</t>
    </r>
  </si>
  <si>
    <t>Sellel vahelehel võetakse kokku elektri-, soojusenergia, vee- ja paberikasutuse ning olmejäätmete tekke aastapõhised andmed eelmistelt töölehtedelt. Kodukontori andmed on lisatud ainult kõige olulisema keskkonnaaspekti ehk elektrienergia tarbimise puhul, kui need andmed on vastavale lehele sisestatud. Tabelite kõrval kuvatakse põhinäitajad joonistena.</t>
  </si>
  <si>
    <t>UK Government GHG Conversion Factors for Company Reporting 2025, paper and board: paper, closed-loop source</t>
  </si>
  <si>
    <r>
      <t>Kui teie jäätmekäitleja annab oma massikaalud, siis tuleks ülaltoodud tabelis asendada olemasolevad koefitsiendid jäätmekäitleja antud koefitsientidega.
2. Juhul kui muuseum asub koos teiste asutustega ühes hoones, kus tekkinud jäätmed, sh liigiti kogutud jäätmed pannakse maja ühistesse jäätmekonteineritesse, siis ei ole võimalik teada saada ühe asutuse täpset olmejäätmete tekkekogust. Sel juhul soovitame teha oma asutuse sees jäätmeuuringu: ühe tüüpilise nädala jooksul kaaluda asutuses tekkivad jäätmed vastavalt tabelis olevatele liikidele (biojäätmed, klaaspakend, paber ja kartong, segapakend, segaolmejäätmed) ning tulemused korrutada nädalate arvuga kuus. Jäätmete kaalumist võiks teha 2</t>
    </r>
    <r>
      <rPr>
        <sz val="11"/>
        <rFont val="Calibri"/>
        <family val="2"/>
      </rPr>
      <t>‒</t>
    </r>
    <r>
      <rPr>
        <i/>
        <sz val="11"/>
        <rFont val="Calibri"/>
        <family val="2"/>
        <scheme val="minor"/>
      </rPr>
      <t>3 korda aastas eri aastaaegadel. 
Olmejäätmete tekke ja käitlemisega seotud KHG jalajälje hindamiseks tuleb allolevas tabelis sisestada segaolmejäätmete kogus sellele reale, kuidas toimub nende jäätmete edasine käitlus kohta (põletamine või prügilasse ladestamine). Need andmed saab jäätmeveoteenust pakkuva ettevõtte käest.
Kui pole teada, kuhu muuseumi segaolmejäätmed liiguvad, siis tuleks selleks valida segaolmejäätmete prügilasse ladestamine.
Kuna kodukontorites tekitatav jäätmekoguse (sh liigiti kogumise) hindamine on väga keeruline, siis käesolevas mudelis seda eraldi ei arvestata.</t>
    </r>
  </si>
  <si>
    <t>kg CO2 ekv/kWh</t>
  </si>
  <si>
    <t>kg CO2/kWh</t>
  </si>
  <si>
    <r>
      <t>kg CO</t>
    </r>
    <r>
      <rPr>
        <vertAlign val="subscript"/>
        <sz val="10"/>
        <color theme="1"/>
        <rFont val="Aptos Narrow"/>
        <family val="2"/>
      </rPr>
      <t>2</t>
    </r>
    <r>
      <rPr>
        <sz val="10"/>
        <color theme="1"/>
        <rFont val="Aptos Narrow"/>
        <family val="2"/>
      </rPr>
      <t>/kWh</t>
    </r>
  </si>
  <si>
    <t>AS Utilitas 2022. CO₂ heitetegur 2021</t>
  </si>
  <si>
    <t>AS Utilitas 2023. CO₂ heitetegur 2022</t>
  </si>
  <si>
    <t>AS Utilitas 2024. CO₂ heitetegur 2023</t>
  </si>
  <si>
    <t>AS Utilitas 2025. CO₂ heitetegur 2024</t>
  </si>
  <si>
    <t>AS Gren 2022. CO2 heide müüdud soojuse kohta 2021</t>
  </si>
  <si>
    <t>AS Gren 2023. CO2 heide müüdud soojuse kohta 2022</t>
  </si>
  <si>
    <t>AS Gren 2024. CO2 heide müüdud soojuse kohta 2023</t>
  </si>
  <si>
    <t>AS Gren 2025. CO2 heide müüdud soojuse kohta 2024</t>
  </si>
  <si>
    <t>Bensiini- ja diiselmootoriga sõiduautode keskmine eriheitetegur, KHG inventuuri aruanne 2022</t>
  </si>
  <si>
    <t>Muuseumiga seotud KHG jalajälje arvutamiseks sisestage alltoodud tabelisse muuseumile kuuluvates või liisitud sõidukites tarbitud kütuse kogus aastas. Nende sõidukite kütuse tarbimisest tulenev KHG heide arvestatakse mõjuala 1 alla ning sõidukite elektri tarbimisest tulenev heide mõjuala 2 alla.
Eraldi on võimalik arvestada muuseumi oma sõidukitega tarbitud bensiini, diisli, biometaani, maagaasi, taastuvelektri ja tavaelektri kogust ning hinnata nende kütuste tarbimisega seotud KHG jalajälge. 
Kui töösõite on tehtud iskliku sõidukiga, mille kasutamist on muuseum kompenseerinud, siis nende sõitude KHG heitkogus arvutatakse lehel 'KHG_TÖÖREISID M3' (mõjuala 3).</t>
  </si>
  <si>
    <r>
      <t xml:space="preserve">Siia töölehele sisestage muuseumi keskkonnajalajälje arvutamiseks vajalikud üldandmed.
</t>
    </r>
    <r>
      <rPr>
        <b/>
        <i/>
        <sz val="11"/>
        <rFont val="Calibri"/>
        <family val="2"/>
        <scheme val="minor"/>
      </rPr>
      <t>Muuseumitöötajate arv kokku</t>
    </r>
    <r>
      <rPr>
        <i/>
        <sz val="11"/>
        <rFont val="Calibri"/>
        <family val="2"/>
        <scheme val="minor"/>
      </rPr>
      <t xml:space="preserve"> </t>
    </r>
    <r>
      <rPr>
        <sz val="11"/>
        <rFont val="Calibri"/>
        <family val="2"/>
      </rPr>
      <t>‒</t>
    </r>
    <r>
      <rPr>
        <i/>
        <sz val="11"/>
        <rFont val="Calibri"/>
        <family val="2"/>
        <scheme val="minor"/>
      </rPr>
      <t xml:space="preserve"> siia alla peaks arvestama kõik muuseumis töötavad inimesed (nii need, kes valdavalt töötavad muuseumis kohapeal kui ka need, kes töötavad kodukontoris, sh osaliselt kodukontoris töötavad inimesed). Muuseumitöötajate arv kokku tuleks määratleda täistööaja arvestusega (nt kui kaks inimest töötavad poole tööajaga, siis see teeb kokku arvestuslikult ühe täistööajaga inimese).
</t>
    </r>
    <r>
      <rPr>
        <b/>
        <i/>
        <sz val="11"/>
        <rFont val="Calibri"/>
        <family val="2"/>
        <scheme val="minor"/>
      </rPr>
      <t xml:space="preserve">Külastajate arv aastas </t>
    </r>
    <r>
      <rPr>
        <i/>
        <sz val="11"/>
        <rFont val="Calibri"/>
        <family val="2"/>
        <scheme val="minor"/>
      </rPr>
      <t xml:space="preserve">‒ suhtelise kasvuhoonegaaside jalajälje suuruse arvutamiseks külastaja kohta.
</t>
    </r>
    <r>
      <rPr>
        <b/>
        <i/>
        <sz val="11"/>
        <rFont val="Calibri"/>
        <family val="2"/>
        <scheme val="minor"/>
      </rPr>
      <t>Muuseumi köetav üldpind</t>
    </r>
    <r>
      <rPr>
        <i/>
        <sz val="11"/>
        <rFont val="Calibri"/>
        <family val="2"/>
        <scheme val="minor"/>
      </rPr>
      <t xml:space="preserve"> ‒ vajalik soojusenergia (küte) suhtelise näitaja arvutamiseks (muuseumi aastane soojusenergia tarbimine m</t>
    </r>
    <r>
      <rPr>
        <i/>
        <vertAlign val="superscript"/>
        <sz val="11"/>
        <rFont val="Calibri"/>
        <family val="2"/>
        <scheme val="minor"/>
      </rPr>
      <t>2</t>
    </r>
    <r>
      <rPr>
        <i/>
        <sz val="11"/>
        <rFont val="Calibri"/>
        <family val="2"/>
        <scheme val="minor"/>
      </rPr>
      <t xml:space="preserve"> kohta). Muuseumi üldpinna sisse ei arvestata kodukontorite pindala.</t>
    </r>
  </si>
  <si>
    <t>Lehträtik (1 tk)</t>
  </si>
  <si>
    <t>Tualettpaber (1 m)</t>
  </si>
  <si>
    <t xml:space="preserve">Selles tabelis saab välja tuua kontori- ehk printeri- ja koopiapaberi ning pehmepaberi (lehträtikud, salvrätikud ja tualettpaber) kasutuse.
</t>
  </si>
  <si>
    <t xml:space="preserve">Kõige lihtsam on paberi arvestust pidada aasta jooksul ostetud kontoripaberi ja pehmepaberi arvulise koguse põhjal, mille saab üldjuhul võtta ostuarvetelt või küsida toodete tarnijalt. 
Paberite pakkides oleva arvulise koguse ning tualettpaberi rulli meetrite kohta saab infot ka toodete kodulehtedelt.
Tabelis arvutatakse  kontoripaberi lehtede koguarv ning paberite kaalud järgmistel eeldustel (vajadusel võib asendada allolevad väärtused teiste väärtustega): </t>
  </si>
  <si>
    <t>1 kontoripaberi pakk=</t>
  </si>
  <si>
    <t>1 lehträtik=</t>
  </si>
  <si>
    <t>1 m tualettpaberit=</t>
  </si>
  <si>
    <r>
      <t xml:space="preserve">Paberi tarbimisega seotud KHG jalajälg arvutatakse automaatselt lehel </t>
    </r>
    <r>
      <rPr>
        <sz val="11"/>
        <rFont val="Calibri"/>
        <family val="2"/>
        <scheme val="minor"/>
      </rPr>
      <t>'</t>
    </r>
    <r>
      <rPr>
        <i/>
        <sz val="11"/>
        <rFont val="Calibri"/>
        <family val="2"/>
        <scheme val="minor"/>
      </rPr>
      <t>KHG JALAJÄLG KOOND</t>
    </r>
    <r>
      <rPr>
        <sz val="11"/>
        <rFont val="Calibri"/>
        <family val="2"/>
        <scheme val="minor"/>
      </rPr>
      <t>'</t>
    </r>
    <r>
      <rPr>
        <i/>
        <sz val="11"/>
        <rFont val="Calibri"/>
        <family val="2"/>
        <scheme val="minor"/>
      </rPr>
      <t>.</t>
    </r>
  </si>
  <si>
    <t>Ostetud lehträtikuid (tk)</t>
  </si>
  <si>
    <t>Ostetud lehträtikuid (kg)</t>
  </si>
  <si>
    <t>Ostetud tualettpaberit (kg)</t>
  </si>
  <si>
    <t>Ostetud pehmepaber (kg)</t>
  </si>
  <si>
    <r>
      <t>t CO</t>
    </r>
    <r>
      <rPr>
        <b/>
        <vertAlign val="subscript"/>
        <sz val="10"/>
        <color theme="1"/>
        <rFont val="Aptos Narrow"/>
        <family val="2"/>
      </rPr>
      <t>2</t>
    </r>
    <r>
      <rPr>
        <b/>
        <sz val="10"/>
        <color theme="1"/>
        <rFont val="Aptos Narrow"/>
        <family val="2"/>
      </rPr>
      <t xml:space="preserve"> ekv</t>
    </r>
  </si>
  <si>
    <t>KHG HEITKOGUS 
(transpordiettevõtte välja arvutatuna)</t>
  </si>
  <si>
    <t>Variant I</t>
  </si>
  <si>
    <t>Variant II</t>
  </si>
  <si>
    <t>Variant III</t>
  </si>
  <si>
    <t>Variant IV</t>
  </si>
  <si>
    <r>
      <t>Sisseostetud transporditeenuse  (nt asjade vedu või inimeste vedu) KHG jalajälje hindamiseks on siin töölehel järgmised võimalused, millest valida üks variant.
1. Küsida transporditeenuse osutajalt teie muuseumiga seotud vedude kasvuhoonegaaside koguheide (t CO</t>
    </r>
    <r>
      <rPr>
        <i/>
        <vertAlign val="subscript"/>
        <sz val="11"/>
        <rFont val="Aptos Narrow"/>
        <family val="2"/>
      </rPr>
      <t>2</t>
    </r>
    <r>
      <rPr>
        <i/>
        <sz val="11"/>
        <rFont val="Aptos Narrow"/>
        <family val="2"/>
      </rPr>
      <t xml:space="preserve"> ekv) arvestusaastas ja sisestada see veergu </t>
    </r>
    <r>
      <rPr>
        <sz val="11"/>
        <rFont val="Aptos Narrow"/>
        <family val="2"/>
      </rPr>
      <t>'</t>
    </r>
    <r>
      <rPr>
        <i/>
        <sz val="11"/>
        <rFont val="Aptos Narrow"/>
        <family val="2"/>
      </rPr>
      <t>KHG HEITKOGUS (transpordiettevõtte välja arvutatuna)' (variant I). Transpordiettevõte peaks andma infot ka metoodika kohta, kuidas KHG koguheide on välja arvutatud ja milliseid kütuseid on teenuse osutamiseks kasutatud.</t>
    </r>
  </si>
  <si>
    <r>
      <t xml:space="preserve">2. Arvutada KHG heitkogus aastas teenuse osutamiseks kulunud kütuseliitrite või elektrienergia kilovatt-tundide põhjal (variant II). 
Kaubiku puhul saab valida kas kasutatud on bensiini-, diisel- või elektrimootoriga kaubiku teenust (sh tava- või taastuva elektriga sõitev kaubik), bussi puhul on valida diiselmootoriga buss või väikebuss. 
3. Kui teenusepakkujalt pole võimalik kulunud kütuseliitrite või elektrienergia kohta andmeid saada, tuleks tabelisse märkida vastava sõidukitüübiga veetud kauba või reisijate vahemaa kilomeetrites (variant III) või tonn-kilomeetrites (variant IV). 
Ühe veo tonnkilomeetrite arvutamiseks korrutatakse vastava sõidukiliigiga tehtud veo kaugus (km) kauba kaaluga tonnides.
Muuseumi oma töötajate tööreisidest tulenev KHG heide arvestatakse lehel </t>
    </r>
    <r>
      <rPr>
        <sz val="11"/>
        <color theme="1"/>
        <rFont val="Aptos Narrow"/>
        <family val="2"/>
      </rPr>
      <t>'</t>
    </r>
    <r>
      <rPr>
        <i/>
        <sz val="11"/>
        <color theme="1"/>
        <rFont val="Aptos Narrow"/>
        <family val="2"/>
      </rPr>
      <t>KHG_TÖÖREISID M3</t>
    </r>
    <r>
      <rPr>
        <sz val="11"/>
        <color theme="1"/>
        <rFont val="Aptos Narrow"/>
        <family val="2"/>
      </rPr>
      <t>'</t>
    </r>
    <r>
      <rPr>
        <i/>
        <sz val="11"/>
        <color theme="1"/>
        <rFont val="Aptos Narrow"/>
        <family val="2"/>
      </rPr>
      <t xml:space="preserve">. </t>
    </r>
  </si>
  <si>
    <t>KHG inventuuri aruanne 2025, arvestuslik katla kasutegur 90%</t>
  </si>
  <si>
    <t>kg CO2 ekv/l</t>
  </si>
  <si>
    <t>KHG inventuuri aruanne 2025, kütteväärtus ~31,82 MJ/l</t>
  </si>
  <si>
    <t>kg CO2 ekv/kg</t>
  </si>
  <si>
    <t>KHG inventuuri aruanne 2025, kütteväärtus 49 MJ/kg</t>
  </si>
  <si>
    <t>KHG inventuuri aruanne 2025, kütteväärtus ~35,69 MJ/l</t>
  </si>
  <si>
    <t>AS Tallinna Vesi 2022. Vee- ja reoveepuhastuse süsinikujalajälg 2021</t>
  </si>
  <si>
    <t>AS Tallinna Vesi 2023. Vee- ja reoveepuhastuse süsinikujalajälg 2022</t>
  </si>
  <si>
    <t>AS Tallinna Vesi 2024. Vee- ja reoveepuhastuse süsinikujalajälg 2023</t>
  </si>
  <si>
    <t>AS Tallinna Vesi 2025. Vee- ja reoveepuhastuse süsinikujalajälg 2024</t>
  </si>
  <si>
    <t>AS Tallinna Vesi 2026. Vee- ja reoveepuhastuse süsinikujalajälg 2025</t>
  </si>
  <si>
    <t>AS Tallinna Vesi 2027. Vee- ja reoveepuhastuse süsinikujalajälg 2026</t>
  </si>
  <si>
    <t>AS Tallinna Vesi 2028. Vee- ja reoveepuhastuse süsinikujalajälg 2027</t>
  </si>
  <si>
    <r>
      <rPr>
        <sz val="11"/>
        <rFont val="Calibri"/>
        <family val="2"/>
        <scheme val="minor"/>
      </rPr>
      <t>Lisaks keskkonnaaspektide tarbimispõhisele seirele võimaldab mudel arvutada muuseumitegevusest tulenevat KHG jalajälge. Peamiste keskkonnaaspektide (elekter, soojus, vesi, paber, jäätmed) KHG heide arvutatakse mudelis automaatselt vastavalt sisestatud tarbimis-/tekkekogustele. Ainult elektri ja soojusenergia tabelites tuleb KHG jalajälje arvutamiseks sisestada lisainformatsiooni. 
Muuseumitegevuse KHG jalajälje arvutamise ulatuse määratlemisel tuleks peale nimetatud keskkonnaaspektide arvestada ka muuseumile kuuluvate sõidukite ja kliimaseadmete kasutust (M1 - mõjuala 1) ning mõjuala 3 (M3) alla kuuluvaid tüüpilisi tegevusi (tööreisid, töötajate tööle-koju liikumine, muuseumiga seotud asjade ja inimeste transporditeenus). Arvutusmudelis on eraldi töölehed koos juhistega nimetatud tegevuskategooriate andmete sisestamiseks:
• KHG_OMA SÕIDUKID M1
• KHG_HAJUSHEITMED M1
• KHG_TÖÖREISID M3
• KHG_TÖÖLE-KOJU M3
• KHG_TRANSPORDITEENUS M3
Üldjuhul eeldab nende tegevuskategooriate sisendandmete kogumine muuseumi tasandil andmekogumise süsteemi loomist (nt töötajate tööle ja koju liikumise igaaastast analüüsi, tööreiside transpordiandmete kogumist</t>
    </r>
    <r>
      <rPr>
        <sz val="11"/>
        <color rgb="FFFF0000"/>
        <rFont val="Calibri"/>
        <family val="2"/>
        <scheme val="minor"/>
      </rPr>
      <t xml:space="preserve"> </t>
    </r>
    <r>
      <rPr>
        <sz val="11"/>
        <rFont val="Calibri"/>
        <family val="2"/>
        <scheme val="minor"/>
      </rPr>
      <t>jne). 
KHG jalajälje koondtulemus CO</t>
    </r>
    <r>
      <rPr>
        <vertAlign val="subscript"/>
        <sz val="11"/>
        <rFont val="Calibri"/>
        <family val="2"/>
        <scheme val="minor"/>
      </rPr>
      <t>2</t>
    </r>
    <r>
      <rPr>
        <sz val="11"/>
        <rFont val="Calibri"/>
        <family val="2"/>
        <scheme val="minor"/>
      </rPr>
      <t xml:space="preserve"> ekvivalentides tuuakse välja mudeli töölehel 'KHG JALAJÄLG KOOND' nii mõjualade kaupa kui ka suhtelise näitajana muuseumi külastaja kohta.
Mudeli viimasel töölehel on toodud KHG jalajälje arvutamise aluseks olevad eriheitetegurid, mis tuginevad kliimaministeeriumi poolt kinnitatud vastavale andmebaasile (</t>
    </r>
    <r>
      <rPr>
        <u/>
        <sz val="11"/>
        <color theme="10"/>
        <rFont val="Calibri"/>
        <family val="2"/>
        <scheme val="minor"/>
      </rPr>
      <t>https://kliimaministeerium.ee/organisatsioonide-khg-jalajalg</t>
    </r>
    <r>
      <rPr>
        <sz val="11"/>
        <rFont val="Calibri"/>
        <family val="2"/>
        <scheme val="minor"/>
      </rPr>
      <t xml:space="preserve">). EKJA uuendab käesolevas mudelis kasutatavaid eriheitetegureid selle andmebaasi põhjal igal aastal.
</t>
    </r>
    <r>
      <rPr>
        <b/>
        <sz val="11"/>
        <rFont val="Calibri"/>
        <family val="2"/>
        <charset val="186"/>
        <scheme val="minor"/>
      </rPr>
      <t>NB! Kui muuseum soovib kasutada muid eriheitetegureid, siis tuleb need sisestada töölehel 'KHG eriheitetegurid' olevate tegurite asemele.</t>
    </r>
  </si>
  <si>
    <t>Allikas (Kliimaministeeriumi jalajälje hindamise mudel, leht ('HT-Energia (M1, M2, M3)')</t>
  </si>
  <si>
    <t>Fluoritud kasvuhoonegaaside ehk F-gaaside kasutamisest tuleneva KHG jalajälje arvutamiseks on vaja teada, kui palju muuseumi kliimaseadmetest aasta jooksul neid gaase atmosfääri lekib n-ö hajusheitmetena.
Üldjuhul saab seda hinnata igal aastal kliimaseadmetesse lisatavate F-gaaside koguse kaudu, mille kohta saab andmeid enamasti seadmete hooldusettevõttelt (või FOKA registrist).
Allolevas tabelis on veeru 'ANDMED' rippmenüüst võimalik valida enamlevinud F-gaaside tüübid. Veergu 'SÜSTEEMI VÕI SEADMESSE LISATUD (LEKKINUD) F-GAASI KOGUS' sisestada aastas seadmetesse/süsteemidesse täiendavalt lisatud F-gaasi kogus (mitte arvestada seadmete esmatäitmise või muid F-gaasi lisamise juhte, kui tegu pole nende gaaside kasutamisel tekkinud lekke kompenseerimisega).</t>
  </si>
  <si>
    <t>IPCC AR5</t>
  </si>
  <si>
    <t xml:space="preserve">https://infovaramu.ekuk.ee/f-gaasid-ja-osoon/f-gaasid/f-gaaside-kasutamine-eestis/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</si>
</sst>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
    <numFmt numFmtId="167" formatCode="#,##0.0"/>
    <numFmt numFmtId="168" formatCode="0.0%"/>
    <numFmt numFmtId="169" formatCode="0.0000"/>
  </numFmts>
  <fonts count="91" x14ac:knownFonts="1">
    <font>
      <sz val="11"/>
      <color theme="1"/>
      <name val="Calibri"/>
      <family val="2"/>
      <scheme val="minor"/>
    </font>
    <font>
      <sz val="11"/>
      <color theme="1"/>
      <name val="Calibri"/>
      <family val="2"/>
      <charset val="186"/>
      <scheme val="minor"/>
    </font>
    <font>
      <b/>
      <sz val="10"/>
      <name val="Calibri"/>
      <family val="2"/>
      <charset val="186"/>
      <scheme val="minor"/>
    </font>
    <font>
      <sz val="10"/>
      <name val="Calibri"/>
      <family val="2"/>
      <charset val="186"/>
      <scheme val="minor"/>
    </font>
    <font>
      <b/>
      <sz val="11"/>
      <name val="Calibri"/>
      <family val="2"/>
      <charset val="186"/>
      <scheme val="minor"/>
    </font>
    <font>
      <sz val="10"/>
      <color theme="1"/>
      <name val="Calibri"/>
      <family val="2"/>
      <scheme val="minor"/>
    </font>
    <font>
      <b/>
      <sz val="10"/>
      <color theme="1"/>
      <name val="Calibri"/>
      <family val="2"/>
      <charset val="186"/>
      <scheme val="minor"/>
    </font>
    <font>
      <b/>
      <sz val="10"/>
      <color theme="1"/>
      <name val="Calibri"/>
      <family val="2"/>
      <scheme val="minor"/>
    </font>
    <font>
      <sz val="10"/>
      <color theme="1"/>
      <name val="Calibri"/>
      <family val="2"/>
      <charset val="186"/>
      <scheme val="minor"/>
    </font>
    <font>
      <i/>
      <sz val="10"/>
      <color theme="1"/>
      <name val="Calibri"/>
      <family val="2"/>
      <charset val="186"/>
      <scheme val="minor"/>
    </font>
    <font>
      <b/>
      <sz val="11"/>
      <color theme="1"/>
      <name val="Calibri"/>
      <family val="2"/>
      <charset val="186"/>
      <scheme val="minor"/>
    </font>
    <font>
      <i/>
      <sz val="11"/>
      <color theme="1"/>
      <name val="Calibri"/>
      <family val="2"/>
      <charset val="186"/>
      <scheme val="minor"/>
    </font>
    <font>
      <sz val="10"/>
      <name val="Calibri"/>
      <family val="2"/>
      <scheme val="minor"/>
    </font>
    <font>
      <sz val="9"/>
      <color indexed="81"/>
      <name val="Tahoma"/>
      <family val="2"/>
      <charset val="186"/>
    </font>
    <font>
      <b/>
      <sz val="11"/>
      <color theme="1"/>
      <name val="Calibri"/>
      <family val="2"/>
      <scheme val="minor"/>
    </font>
    <font>
      <i/>
      <sz val="11"/>
      <color theme="1"/>
      <name val="Calibri"/>
      <family val="2"/>
      <scheme val="minor"/>
    </font>
    <font>
      <u/>
      <sz val="11"/>
      <color theme="10"/>
      <name val="Calibri"/>
      <family val="2"/>
      <scheme val="minor"/>
    </font>
    <font>
      <b/>
      <sz val="10"/>
      <name val="Calibri"/>
      <family val="2"/>
      <scheme val="minor"/>
    </font>
    <font>
      <sz val="11"/>
      <name val="Calibri"/>
      <family val="2"/>
      <scheme val="minor"/>
    </font>
    <font>
      <b/>
      <sz val="11"/>
      <name val="Calibri"/>
      <family val="2"/>
      <scheme val="minor"/>
    </font>
    <font>
      <i/>
      <sz val="10"/>
      <name val="Calibri"/>
      <family val="2"/>
      <scheme val="minor"/>
    </font>
    <font>
      <b/>
      <sz val="14"/>
      <color rgb="FF00B050"/>
      <name val="Calibri"/>
      <family val="2"/>
      <charset val="186"/>
      <scheme val="minor"/>
    </font>
    <font>
      <b/>
      <sz val="14"/>
      <color theme="1"/>
      <name val="Calibri"/>
      <family val="2"/>
      <charset val="186"/>
      <scheme val="minor"/>
    </font>
    <font>
      <b/>
      <i/>
      <sz val="10"/>
      <color theme="1"/>
      <name val="Calibri"/>
      <family val="2"/>
      <scheme val="minor"/>
    </font>
    <font>
      <b/>
      <sz val="14"/>
      <color theme="1"/>
      <name val="Calibri"/>
      <family val="2"/>
      <scheme val="minor"/>
    </font>
    <font>
      <b/>
      <sz val="14"/>
      <name val="Calibri"/>
      <family val="2"/>
      <scheme val="minor"/>
    </font>
    <font>
      <b/>
      <sz val="12"/>
      <color theme="1"/>
      <name val="Calibri"/>
      <family val="2"/>
      <scheme val="minor"/>
    </font>
    <font>
      <i/>
      <sz val="11"/>
      <color rgb="FFFF0000"/>
      <name val="Calibri"/>
      <family val="2"/>
      <scheme val="minor"/>
    </font>
    <font>
      <sz val="11"/>
      <color rgb="FFFF0000"/>
      <name val="Calibri"/>
      <family val="2"/>
      <scheme val="minor"/>
    </font>
    <font>
      <i/>
      <sz val="12"/>
      <name val="Calibri"/>
      <family val="2"/>
      <scheme val="minor"/>
    </font>
    <font>
      <b/>
      <sz val="16"/>
      <name val="Calibri"/>
      <family val="2"/>
      <charset val="186"/>
      <scheme val="minor"/>
    </font>
    <font>
      <b/>
      <sz val="16"/>
      <name val="Calibri"/>
      <family val="2"/>
      <scheme val="minor"/>
    </font>
    <font>
      <b/>
      <sz val="14"/>
      <name val="Calibri"/>
      <family val="2"/>
      <charset val="186"/>
      <scheme val="minor"/>
    </font>
    <font>
      <i/>
      <sz val="14"/>
      <name val="Calibri"/>
      <family val="2"/>
      <scheme val="minor"/>
    </font>
    <font>
      <i/>
      <sz val="12"/>
      <color theme="1"/>
      <name val="Calibri"/>
      <family val="2"/>
      <scheme val="minor"/>
    </font>
    <font>
      <b/>
      <sz val="12"/>
      <color theme="1"/>
      <name val="Calibri"/>
      <family val="2"/>
      <charset val="186"/>
      <scheme val="minor"/>
    </font>
    <font>
      <b/>
      <vertAlign val="superscript"/>
      <sz val="10"/>
      <color theme="1"/>
      <name val="Calibri"/>
      <family val="2"/>
      <scheme val="minor"/>
    </font>
    <font>
      <vertAlign val="superscript"/>
      <sz val="10"/>
      <name val="Calibri"/>
      <family val="2"/>
      <scheme val="minor"/>
    </font>
    <font>
      <vertAlign val="superscript"/>
      <sz val="10"/>
      <color theme="1"/>
      <name val="Calibri"/>
      <family val="2"/>
      <scheme val="minor"/>
    </font>
    <font>
      <sz val="10"/>
      <color rgb="FF000000"/>
      <name val="Calibri"/>
      <family val="2"/>
      <scheme val="minor"/>
    </font>
    <font>
      <sz val="12"/>
      <color theme="1"/>
      <name val="Cambria"/>
      <family val="1"/>
    </font>
    <font>
      <sz val="11"/>
      <color theme="1"/>
      <name val="Cambria"/>
      <family val="1"/>
    </font>
    <font>
      <sz val="11"/>
      <color rgb="FF000000"/>
      <name val="Calibri"/>
      <family val="2"/>
    </font>
    <font>
      <sz val="8"/>
      <name val="Calibri"/>
      <family val="2"/>
      <scheme val="minor"/>
    </font>
    <font>
      <b/>
      <sz val="11"/>
      <color theme="0"/>
      <name val="Calibri"/>
      <family val="2"/>
      <scheme val="minor"/>
    </font>
    <font>
      <vertAlign val="superscript"/>
      <sz val="10"/>
      <name val="Tahoma"/>
      <family val="2"/>
    </font>
    <font>
      <vertAlign val="superscript"/>
      <sz val="10"/>
      <name val="Calibri"/>
      <family val="2"/>
    </font>
    <font>
      <sz val="11"/>
      <color theme="1"/>
      <name val="Calibri"/>
      <family val="2"/>
      <scheme val="minor"/>
    </font>
    <font>
      <b/>
      <sz val="10"/>
      <color theme="0"/>
      <name val="Calibri"/>
      <family val="2"/>
      <scheme val="minor"/>
    </font>
    <font>
      <b/>
      <sz val="18"/>
      <color theme="1"/>
      <name val="Calibri"/>
      <family val="2"/>
      <charset val="186"/>
      <scheme val="minor"/>
    </font>
    <font>
      <i/>
      <vertAlign val="superscript"/>
      <sz val="11"/>
      <color theme="1"/>
      <name val="Calibri"/>
      <family val="2"/>
      <scheme val="minor"/>
    </font>
    <font>
      <i/>
      <vertAlign val="superscript"/>
      <sz val="10"/>
      <name val="Calibri"/>
      <family val="2"/>
      <scheme val="minor"/>
    </font>
    <font>
      <sz val="11"/>
      <color rgb="FFFF0000"/>
      <name val="Cambria"/>
      <family val="1"/>
    </font>
    <font>
      <b/>
      <sz val="16"/>
      <color rgb="FFFF0000"/>
      <name val="Calibri"/>
      <family val="2"/>
      <scheme val="minor"/>
    </font>
    <font>
      <sz val="11"/>
      <color rgb="FF002060"/>
      <name val="Cambria"/>
      <family val="1"/>
    </font>
    <font>
      <b/>
      <sz val="12"/>
      <color rgb="FFFF0000"/>
      <name val="Calibri"/>
      <family val="2"/>
      <scheme val="minor"/>
    </font>
    <font>
      <b/>
      <vertAlign val="subscript"/>
      <sz val="10"/>
      <name val="Calibri"/>
      <family val="2"/>
      <scheme val="minor"/>
    </font>
    <font>
      <b/>
      <vertAlign val="subscript"/>
      <sz val="10"/>
      <color theme="0"/>
      <name val="Calibri"/>
      <family val="2"/>
      <scheme val="minor"/>
    </font>
    <font>
      <b/>
      <sz val="12"/>
      <name val="Calibri"/>
      <family val="2"/>
      <scheme val="minor"/>
    </font>
    <font>
      <sz val="10"/>
      <color theme="1"/>
      <name val="Calibri"/>
      <family val="2"/>
    </font>
    <font>
      <i/>
      <sz val="11"/>
      <name val="Calibri"/>
      <family val="2"/>
      <scheme val="minor"/>
    </font>
    <font>
      <b/>
      <i/>
      <sz val="14"/>
      <name val="Calibri"/>
      <family val="2"/>
      <scheme val="minor"/>
    </font>
    <font>
      <i/>
      <u/>
      <sz val="11"/>
      <color theme="10"/>
      <name val="Calibri"/>
      <family val="2"/>
      <scheme val="minor"/>
    </font>
    <font>
      <b/>
      <i/>
      <sz val="11"/>
      <name val="Calibri"/>
      <family val="2"/>
      <scheme val="minor"/>
    </font>
    <font>
      <sz val="11"/>
      <name val="Calibri"/>
      <family val="2"/>
    </font>
    <font>
      <i/>
      <vertAlign val="superscript"/>
      <sz val="11"/>
      <name val="Calibri"/>
      <family val="2"/>
      <scheme val="minor"/>
    </font>
    <font>
      <vertAlign val="subscript"/>
      <sz val="11"/>
      <name val="Calibri"/>
      <family val="2"/>
      <scheme val="minor"/>
    </font>
    <font>
      <b/>
      <vertAlign val="subscript"/>
      <sz val="10"/>
      <color theme="1"/>
      <name val="Calibri"/>
      <family val="2"/>
      <scheme val="minor"/>
    </font>
    <font>
      <i/>
      <sz val="11"/>
      <name val="Calibri"/>
      <family val="2"/>
    </font>
    <font>
      <i/>
      <vertAlign val="subscript"/>
      <sz val="11"/>
      <name val="Calibri"/>
      <family val="2"/>
      <scheme val="minor"/>
    </font>
    <font>
      <vertAlign val="subscript"/>
      <sz val="10"/>
      <color theme="1"/>
      <name val="Calibri"/>
      <family val="2"/>
      <scheme val="minor"/>
    </font>
    <font>
      <i/>
      <sz val="10"/>
      <color theme="1"/>
      <name val="Calibri"/>
      <family val="2"/>
      <scheme val="minor"/>
    </font>
    <font>
      <sz val="10"/>
      <color theme="1"/>
      <name val="Cambria"/>
      <family val="1"/>
    </font>
    <font>
      <sz val="10"/>
      <name val="Cambria"/>
      <family val="1"/>
    </font>
    <font>
      <u/>
      <sz val="10"/>
      <color theme="10"/>
      <name val="Calibri"/>
      <family val="2"/>
      <scheme val="minor"/>
    </font>
    <font>
      <vertAlign val="subscript"/>
      <sz val="10"/>
      <name val="Cambria"/>
      <family val="1"/>
    </font>
    <font>
      <sz val="11"/>
      <color theme="1"/>
      <name val="Calibri"/>
      <family val="2"/>
    </font>
    <font>
      <sz val="10"/>
      <color rgb="FFFF0000"/>
      <name val="Calibri"/>
      <family val="2"/>
      <scheme val="minor"/>
    </font>
    <font>
      <b/>
      <sz val="13"/>
      <color theme="3"/>
      <name val="Calibri"/>
      <family val="2"/>
      <charset val="186"/>
      <scheme val="minor"/>
    </font>
    <font>
      <b/>
      <sz val="11"/>
      <color rgb="FFFF0000"/>
      <name val="Calibri"/>
      <family val="2"/>
      <charset val="186"/>
      <scheme val="minor"/>
    </font>
    <font>
      <vertAlign val="subscript"/>
      <sz val="10"/>
      <name val="Calibri"/>
      <family val="2"/>
      <scheme val="minor"/>
    </font>
    <font>
      <sz val="10"/>
      <color theme="1"/>
      <name val="Aptos Narrow"/>
      <family val="2"/>
    </font>
    <font>
      <vertAlign val="subscript"/>
      <sz val="10"/>
      <color theme="1"/>
      <name val="Aptos Narrow"/>
      <family val="2"/>
    </font>
    <font>
      <b/>
      <sz val="14"/>
      <color rgb="FF00B050"/>
      <name val="Aptos Narrow"/>
      <family val="2"/>
    </font>
    <font>
      <sz val="11"/>
      <color theme="1"/>
      <name val="Aptos Narrow"/>
      <family val="2"/>
    </font>
    <font>
      <i/>
      <sz val="11"/>
      <name val="Aptos Narrow"/>
      <family val="2"/>
    </font>
    <font>
      <b/>
      <vertAlign val="subscript"/>
      <sz val="10"/>
      <color theme="1"/>
      <name val="Aptos Narrow"/>
      <family val="2"/>
    </font>
    <font>
      <b/>
      <sz val="10"/>
      <color theme="1"/>
      <name val="Aptos Narrow"/>
      <family val="2"/>
    </font>
    <font>
      <i/>
      <vertAlign val="subscript"/>
      <sz val="11"/>
      <name val="Aptos Narrow"/>
      <family val="2"/>
    </font>
    <font>
      <sz val="11"/>
      <name val="Aptos Narrow"/>
      <family val="2"/>
    </font>
    <font>
      <i/>
      <sz val="11"/>
      <color theme="1"/>
      <name val="Aptos Narrow"/>
      <family val="2"/>
    </font>
  </fonts>
  <fills count="19">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D9D9D9"/>
        <bgColor indexed="64"/>
      </patternFill>
    </fill>
    <fill>
      <patternFill patternType="solid">
        <fgColor rgb="FFFFFFFF"/>
      </patternFill>
    </fill>
    <fill>
      <patternFill patternType="solid">
        <fgColor rgb="FFF0F5FF"/>
      </patternFill>
    </fill>
    <fill>
      <patternFill patternType="solid">
        <fgColor theme="4" tint="0.79998168889431442"/>
        <bgColor rgb="FF000000"/>
      </patternFill>
    </fill>
    <fill>
      <patternFill patternType="solid">
        <fgColor rgb="FFFEFE33"/>
        <bgColor indexed="64"/>
      </patternFill>
    </fill>
    <fill>
      <patternFill patternType="solid">
        <fgColor rgb="FFB2D732"/>
        <bgColor indexed="64"/>
      </patternFill>
    </fill>
    <fill>
      <patternFill patternType="solid">
        <fgColor rgb="FFFCCB1A"/>
        <bgColor indexed="64"/>
      </patternFill>
    </fill>
    <fill>
      <patternFill patternType="solid">
        <fgColor rgb="FFE4F132"/>
        <bgColor indexed="64"/>
      </patternFill>
    </fill>
    <fill>
      <patternFill patternType="solid">
        <fgColor rgb="FF98CA32"/>
        <bgColor indexed="64"/>
      </patternFill>
    </fill>
    <fill>
      <patternFill patternType="solid">
        <fgColor rgb="FF559E54"/>
        <bgColor indexed="64"/>
      </patternFill>
    </fill>
    <fill>
      <patternFill patternType="solid">
        <fgColor rgb="FF0A3409"/>
        <bgColor indexed="64"/>
      </patternFill>
    </fill>
    <fill>
      <patternFill patternType="solid">
        <fgColor rgb="FFFCBA12"/>
        <bgColor indexed="64"/>
      </patternFill>
    </fill>
    <fill>
      <patternFill patternType="solid">
        <fgColor rgb="FFFB8604"/>
        <bgColor indexed="64"/>
      </patternFill>
    </fill>
    <fill>
      <patternFill patternType="solid">
        <fgColor rgb="FFF7E7D4"/>
        <bgColor indexed="64"/>
      </patternFill>
    </fill>
    <fill>
      <patternFill patternType="solid">
        <fgColor theme="0" tint="-0.14999847407452621"/>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rgb="FFDADCDD"/>
      </left>
      <right style="thin">
        <color rgb="FFDADCDD"/>
      </right>
      <top style="thin">
        <color rgb="FFDADCDD"/>
      </top>
      <bottom style="thin">
        <color rgb="FFDADCDD"/>
      </bottom>
      <diagonal/>
    </border>
    <border>
      <left style="medium">
        <color indexed="64"/>
      </left>
      <right/>
      <top style="medium">
        <color rgb="FF000000"/>
      </top>
      <bottom/>
      <diagonal/>
    </border>
    <border>
      <left style="thin">
        <color rgb="FFB2B2B2"/>
      </left>
      <right style="thin">
        <color rgb="FFB2B2B2"/>
      </right>
      <top style="thin">
        <color rgb="FFB2B2B2"/>
      </top>
      <bottom style="thin">
        <color rgb="FFB2B2B2"/>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right style="thick">
        <color theme="0" tint="-0.34998626667073579"/>
      </right>
      <top/>
      <bottom/>
      <diagonal/>
    </border>
    <border>
      <left style="thin">
        <color rgb="FF548235"/>
      </left>
      <right/>
      <top/>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7">
    <xf numFmtId="0" fontId="0" fillId="0" borderId="0"/>
    <xf numFmtId="0" fontId="16" fillId="0" borderId="0" applyNumberFormat="0" applyFill="0" applyBorder="0" applyAlignment="0" applyProtection="0"/>
    <xf numFmtId="0" fontId="42" fillId="5" borderId="58"/>
    <xf numFmtId="0" fontId="42" fillId="6" borderId="58"/>
    <xf numFmtId="0" fontId="18" fillId="7" borderId="60" applyNumberFormat="0" applyProtection="0">
      <alignment vertical="center"/>
    </xf>
    <xf numFmtId="9" fontId="47" fillId="0" borderId="0" applyFont="0" applyFill="0" applyBorder="0" applyAlignment="0" applyProtection="0"/>
    <xf numFmtId="0" fontId="78" fillId="0" borderId="0">
      <alignment vertical="center"/>
    </xf>
  </cellStyleXfs>
  <cellXfs count="683">
    <xf numFmtId="0" fontId="0" fillId="0" borderId="0" xfId="0"/>
    <xf numFmtId="0" fontId="4" fillId="0" borderId="0" xfId="0" applyFont="1"/>
    <xf numFmtId="0" fontId="5" fillId="0" borderId="0" xfId="0" applyFont="1"/>
    <xf numFmtId="0" fontId="0" fillId="0" borderId="0" xfId="0" applyAlignment="1">
      <alignment horizontal="center"/>
    </xf>
    <xf numFmtId="0" fontId="10" fillId="0" borderId="0" xfId="0" applyFont="1"/>
    <xf numFmtId="0" fontId="11" fillId="0" borderId="0" xfId="0" applyFont="1"/>
    <xf numFmtId="0" fontId="3" fillId="0" borderId="0" xfId="0" applyFont="1" applyAlignment="1">
      <alignment horizontal="center"/>
    </xf>
    <xf numFmtId="0" fontId="3" fillId="0" borderId="0" xfId="0" applyFont="1"/>
    <xf numFmtId="0" fontId="8" fillId="0" borderId="0" xfId="0" applyFont="1"/>
    <xf numFmtId="0" fontId="3" fillId="0" borderId="0" xfId="0" applyFont="1" applyAlignment="1">
      <alignment horizontal="left"/>
    </xf>
    <xf numFmtId="0" fontId="8" fillId="0" borderId="0" xfId="0" applyFont="1" applyAlignment="1">
      <alignment horizontal="left"/>
    </xf>
    <xf numFmtId="0" fontId="5" fillId="0" borderId="0" xfId="0" applyFont="1" applyAlignment="1">
      <alignment horizontal="center"/>
    </xf>
    <xf numFmtId="0" fontId="12" fillId="0" borderId="0" xfId="0" applyFont="1" applyAlignment="1">
      <alignment horizontal="center"/>
    </xf>
    <xf numFmtId="0" fontId="11" fillId="0" borderId="0" xfId="0" applyFont="1" applyAlignment="1">
      <alignment horizontal="left" wrapText="1"/>
    </xf>
    <xf numFmtId="0" fontId="9" fillId="0" borderId="0" xfId="0" applyFont="1" applyAlignment="1">
      <alignment horizontal="left" wrapText="1"/>
    </xf>
    <xf numFmtId="0" fontId="5" fillId="0" borderId="0" xfId="0" applyFont="1" applyAlignment="1">
      <alignment horizontal="left"/>
    </xf>
    <xf numFmtId="0" fontId="15" fillId="0" borderId="0" xfId="0" applyFont="1"/>
    <xf numFmtId="0" fontId="5" fillId="0" borderId="0" xfId="0" applyFont="1" applyAlignment="1">
      <alignment vertical="top" wrapText="1"/>
    </xf>
    <xf numFmtId="0" fontId="11" fillId="0" borderId="0" xfId="0" applyFont="1" applyAlignment="1">
      <alignment vertical="top"/>
    </xf>
    <xf numFmtId="0" fontId="18" fillId="0" borderId="0" xfId="0" applyFont="1"/>
    <xf numFmtId="0" fontId="18" fillId="0" borderId="0" xfId="0" applyFont="1" applyAlignment="1">
      <alignment horizontal="center"/>
    </xf>
    <xf numFmtId="0" fontId="12" fillId="0" borderId="0" xfId="0" applyFont="1"/>
    <xf numFmtId="0" fontId="14" fillId="0" borderId="0" xfId="0" applyFont="1"/>
    <xf numFmtId="0" fontId="21" fillId="0" borderId="0" xfId="0" applyFont="1"/>
    <xf numFmtId="0" fontId="11" fillId="0" borderId="0" xfId="0" applyFont="1" applyAlignment="1">
      <alignment vertical="top" wrapText="1"/>
    </xf>
    <xf numFmtId="0" fontId="22" fillId="0" borderId="0" xfId="0" applyFont="1"/>
    <xf numFmtId="0" fontId="24" fillId="0" borderId="0" xfId="0" applyFont="1"/>
    <xf numFmtId="9" fontId="0" fillId="0" borderId="0" xfId="0" applyNumberFormat="1"/>
    <xf numFmtId="0" fontId="25" fillId="0" borderId="0" xfId="0" applyFont="1"/>
    <xf numFmtId="0" fontId="3" fillId="0" borderId="0" xfId="0" applyFont="1" applyAlignment="1">
      <alignment wrapText="1"/>
    </xf>
    <xf numFmtId="0" fontId="15" fillId="0" borderId="0" xfId="0" applyFont="1" applyAlignment="1">
      <alignment vertical="top" wrapText="1"/>
    </xf>
    <xf numFmtId="0" fontId="30" fillId="0" borderId="0" xfId="0" applyFont="1"/>
    <xf numFmtId="0" fontId="32" fillId="0" borderId="0" xfId="0" applyFont="1"/>
    <xf numFmtId="0" fontId="26" fillId="0" borderId="0" xfId="0" applyFont="1"/>
    <xf numFmtId="0" fontId="29" fillId="0" borderId="0" xfId="0" applyFont="1" applyAlignment="1">
      <alignment horizontal="left" vertical="top" wrapText="1"/>
    </xf>
    <xf numFmtId="0" fontId="15" fillId="0" borderId="0" xfId="0" applyFont="1" applyAlignment="1">
      <alignment horizontal="left" vertical="top" wrapText="1"/>
    </xf>
    <xf numFmtId="0" fontId="34" fillId="0" borderId="0" xfId="0" applyFont="1" applyAlignment="1">
      <alignment horizontal="left" vertical="top" wrapText="1"/>
    </xf>
    <xf numFmtId="0" fontId="33" fillId="0" borderId="0" xfId="0" applyFont="1" applyAlignment="1">
      <alignment horizontal="left" vertical="top" wrapText="1"/>
    </xf>
    <xf numFmtId="0" fontId="23" fillId="0" borderId="0" xfId="0" applyFont="1" applyAlignment="1">
      <alignment wrapText="1"/>
    </xf>
    <xf numFmtId="0" fontId="5" fillId="0" borderId="0" xfId="0" applyFont="1" applyAlignment="1">
      <alignment horizontal="center" vertical="center"/>
    </xf>
    <xf numFmtId="0" fontId="3" fillId="0" borderId="1" xfId="0" applyFont="1" applyBorder="1" applyAlignment="1">
      <alignment horizontal="center"/>
    </xf>
    <xf numFmtId="0" fontId="11" fillId="0" borderId="0" xfId="0" applyFont="1" applyAlignment="1">
      <alignment horizontal="center" wrapText="1"/>
    </xf>
    <xf numFmtId="164" fontId="7" fillId="0" borderId="0" xfId="0" applyNumberFormat="1" applyFont="1" applyAlignment="1">
      <alignment horizontal="center"/>
    </xf>
    <xf numFmtId="0" fontId="34" fillId="0" borderId="0" xfId="0" applyFont="1" applyAlignment="1">
      <alignment horizontal="center" vertical="top" wrapText="1"/>
    </xf>
    <xf numFmtId="0" fontId="2" fillId="0" borderId="8" xfId="0" applyFont="1" applyBorder="1" applyAlignment="1">
      <alignment horizontal="center" wrapText="1"/>
    </xf>
    <xf numFmtId="0" fontId="29" fillId="0" borderId="0" xfId="0" applyFont="1" applyAlignment="1">
      <alignment horizontal="center" vertical="top" wrapText="1"/>
    </xf>
    <xf numFmtId="0" fontId="17" fillId="0" borderId="9" xfId="0" applyFont="1" applyBorder="1" applyAlignment="1">
      <alignment horizontal="center" wrapText="1"/>
    </xf>
    <xf numFmtId="0" fontId="12" fillId="0" borderId="9" xfId="0" applyFont="1" applyBorder="1" applyAlignment="1">
      <alignment horizontal="center"/>
    </xf>
    <xf numFmtId="0" fontId="12" fillId="0" borderId="10" xfId="0" applyFont="1" applyBorder="1" applyAlignment="1">
      <alignment horizontal="center"/>
    </xf>
    <xf numFmtId="0" fontId="28" fillId="0" borderId="0" xfId="0" applyFont="1"/>
    <xf numFmtId="0" fontId="12" fillId="0" borderId="11" xfId="0" applyFont="1" applyBorder="1" applyAlignment="1">
      <alignment horizontal="center" vertical="center"/>
    </xf>
    <xf numFmtId="164" fontId="18" fillId="0" borderId="0" xfId="0" applyNumberFormat="1" applyFont="1" applyAlignment="1">
      <alignment horizontal="right"/>
    </xf>
    <xf numFmtId="164" fontId="18" fillId="0" borderId="0" xfId="0" applyNumberFormat="1" applyFont="1" applyAlignment="1">
      <alignment horizontal="center"/>
    </xf>
    <xf numFmtId="0" fontId="3" fillId="0" borderId="51" xfId="0" applyFont="1" applyBorder="1" applyAlignment="1">
      <alignment wrapText="1"/>
    </xf>
    <xf numFmtId="0" fontId="5" fillId="0" borderId="51" xfId="0" applyFont="1" applyBorder="1" applyAlignment="1">
      <alignment horizontal="center"/>
    </xf>
    <xf numFmtId="0" fontId="14" fillId="0" borderId="0" xfId="0" applyFont="1" applyAlignment="1">
      <alignment horizontal="center"/>
    </xf>
    <xf numFmtId="0" fontId="19" fillId="0" borderId="0" xfId="0" applyFont="1" applyAlignment="1">
      <alignment horizontal="center"/>
    </xf>
    <xf numFmtId="0" fontId="11" fillId="0" borderId="0" xfId="0" applyFont="1" applyAlignment="1">
      <alignment horizontal="center" vertical="top" wrapText="1"/>
    </xf>
    <xf numFmtId="0" fontId="7" fillId="0" borderId="0" xfId="0" applyFont="1" applyAlignment="1">
      <alignment horizontal="center" vertical="center"/>
    </xf>
    <xf numFmtId="0" fontId="5" fillId="0" borderId="0" xfId="0" applyFont="1" applyAlignment="1">
      <alignment horizontal="center" vertical="center" wrapText="1"/>
    </xf>
    <xf numFmtId="0" fontId="23" fillId="0" borderId="0" xfId="0" applyFont="1"/>
    <xf numFmtId="0" fontId="40" fillId="0" borderId="0" xfId="0" applyFont="1"/>
    <xf numFmtId="0" fontId="41" fillId="0" borderId="0" xfId="0" applyFont="1"/>
    <xf numFmtId="0" fontId="0" fillId="0" borderId="0" xfId="0" applyAlignment="1">
      <alignment horizontal="center" vertical="center"/>
    </xf>
    <xf numFmtId="0" fontId="34" fillId="0" borderId="0" xfId="0"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center" vertical="center" wrapText="1"/>
    </xf>
    <xf numFmtId="167" fontId="0" fillId="0" borderId="0" xfId="0" applyNumberFormat="1" applyAlignment="1">
      <alignment horizontal="center" vertical="center"/>
    </xf>
    <xf numFmtId="0" fontId="5" fillId="0" borderId="32" xfId="0" applyFont="1" applyBorder="1" applyAlignment="1">
      <alignment horizontal="center" vertical="center"/>
    </xf>
    <xf numFmtId="167" fontId="17" fillId="0" borderId="39" xfId="0" applyNumberFormat="1" applyFont="1" applyBorder="1" applyAlignment="1">
      <alignment horizontal="center" vertical="center" wrapText="1"/>
    </xf>
    <xf numFmtId="0" fontId="5" fillId="0" borderId="9" xfId="0" applyFont="1" applyBorder="1" applyAlignment="1">
      <alignment horizontal="center"/>
    </xf>
    <xf numFmtId="0" fontId="15" fillId="0" borderId="0" xfId="0" applyFont="1" applyAlignment="1">
      <alignment horizontal="center" vertical="top" wrapText="1"/>
    </xf>
    <xf numFmtId="10" fontId="0" fillId="0" borderId="0" xfId="5" applyNumberFormat="1" applyFont="1"/>
    <xf numFmtId="2" fontId="0" fillId="0" borderId="0" xfId="0" applyNumberFormat="1"/>
    <xf numFmtId="0" fontId="32" fillId="0" borderId="0" xfId="0" applyFont="1" applyAlignment="1">
      <alignment horizontal="left"/>
    </xf>
    <xf numFmtId="0" fontId="17" fillId="0" borderId="8" xfId="0" applyFont="1" applyBorder="1" applyAlignment="1">
      <alignment horizontal="center" vertical="center"/>
    </xf>
    <xf numFmtId="0" fontId="5" fillId="0" borderId="12" xfId="0" applyFont="1" applyBorder="1" applyAlignment="1">
      <alignment vertical="center"/>
    </xf>
    <xf numFmtId="0" fontId="31" fillId="0" borderId="0" xfId="0" applyFont="1" applyAlignment="1">
      <alignment horizontal="center"/>
    </xf>
    <xf numFmtId="0" fontId="24" fillId="0" borderId="0" xfId="0" applyFont="1" applyAlignment="1">
      <alignment horizontal="center"/>
    </xf>
    <xf numFmtId="0" fontId="23" fillId="0" borderId="0" xfId="0" applyFont="1" applyAlignment="1">
      <alignment horizontal="center" wrapText="1"/>
    </xf>
    <xf numFmtId="0" fontId="12" fillId="0" borderId="9" xfId="0" applyFont="1" applyBorder="1" applyAlignment="1">
      <alignment horizontal="center" vertical="center"/>
    </xf>
    <xf numFmtId="0" fontId="7" fillId="0" borderId="12" xfId="0" applyFont="1" applyBorder="1" applyAlignment="1">
      <alignment horizontal="center"/>
    </xf>
    <xf numFmtId="0" fontId="7" fillId="0" borderId="34" xfId="0" applyFont="1" applyBorder="1" applyAlignment="1">
      <alignment horizontal="center"/>
    </xf>
    <xf numFmtId="0" fontId="39" fillId="0" borderId="9" xfId="0" applyFont="1" applyBorder="1" applyAlignment="1">
      <alignment horizontal="center" vertical="center"/>
    </xf>
    <xf numFmtId="0" fontId="5" fillId="0" borderId="34" xfId="0" applyFont="1" applyBorder="1" applyAlignment="1">
      <alignment vertical="center"/>
    </xf>
    <xf numFmtId="0" fontId="0" fillId="0" borderId="12" xfId="0" applyBorder="1" applyAlignment="1">
      <alignment horizontal="center"/>
    </xf>
    <xf numFmtId="0" fontId="0" fillId="0" borderId="12" xfId="0" applyBorder="1"/>
    <xf numFmtId="0" fontId="5" fillId="0" borderId="9" xfId="0" applyFont="1" applyBorder="1" applyAlignment="1">
      <alignment horizontal="center" vertical="center"/>
    </xf>
    <xf numFmtId="0" fontId="5" fillId="0" borderId="34" xfId="0" applyFont="1" applyBorder="1" applyAlignment="1">
      <alignment horizontal="center"/>
    </xf>
    <xf numFmtId="166" fontId="0" fillId="0" borderId="0" xfId="0" applyNumberFormat="1"/>
    <xf numFmtId="0" fontId="5" fillId="0" borderId="29" xfId="0" applyFont="1" applyBorder="1" applyAlignment="1">
      <alignment vertical="center"/>
    </xf>
    <xf numFmtId="0" fontId="7" fillId="0" borderId="9" xfId="0" applyFont="1" applyBorder="1" applyAlignment="1">
      <alignment horizontal="center"/>
    </xf>
    <xf numFmtId="4" fontId="0" fillId="0" borderId="0" xfId="0" applyNumberFormat="1"/>
    <xf numFmtId="2" fontId="7" fillId="0" borderId="49" xfId="0" applyNumberFormat="1" applyFont="1" applyBorder="1" applyAlignment="1">
      <alignment horizontal="center" vertical="center"/>
    </xf>
    <xf numFmtId="0" fontId="5" fillId="0" borderId="32" xfId="0" applyFont="1" applyBorder="1" applyAlignment="1">
      <alignment horizontal="center"/>
    </xf>
    <xf numFmtId="0" fontId="0" fillId="0" borderId="61" xfId="0" applyBorder="1" applyAlignment="1">
      <alignment horizontal="center"/>
    </xf>
    <xf numFmtId="168" fontId="0" fillId="0" borderId="0" xfId="5" applyNumberFormat="1" applyFont="1"/>
    <xf numFmtId="0" fontId="7" fillId="0" borderId="32" xfId="0" applyFont="1" applyBorder="1"/>
    <xf numFmtId="0" fontId="49" fillId="0" borderId="0" xfId="0" applyFont="1"/>
    <xf numFmtId="0" fontId="1" fillId="0" borderId="0" xfId="0" applyFont="1"/>
    <xf numFmtId="0" fontId="15" fillId="0" borderId="63" xfId="0" applyFont="1" applyBorder="1"/>
    <xf numFmtId="0" fontId="7" fillId="0" borderId="3" xfId="0" applyFont="1" applyBorder="1" applyAlignment="1">
      <alignment horizontal="center"/>
    </xf>
    <xf numFmtId="0" fontId="3" fillId="0" borderId="3" xfId="0" applyFont="1" applyBorder="1" applyAlignment="1">
      <alignment horizont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29" xfId="0" applyFont="1" applyBorder="1" applyAlignment="1">
      <alignment horizontal="center" vertical="center"/>
    </xf>
    <xf numFmtId="0" fontId="3" fillId="0" borderId="3" xfId="0" applyFont="1" applyBorder="1" applyAlignment="1">
      <alignment horizontal="center" wrapText="1"/>
    </xf>
    <xf numFmtId="0" fontId="12" fillId="0" borderId="3" xfId="0" applyFont="1" applyBorder="1" applyAlignment="1">
      <alignment horizontal="center" vertical="center" wrapText="1"/>
    </xf>
    <xf numFmtId="0" fontId="21" fillId="0" borderId="0" xfId="0" applyFont="1" applyAlignment="1">
      <alignment horizontal="center"/>
    </xf>
    <xf numFmtId="0" fontId="12" fillId="0" borderId="9" xfId="0" applyFont="1" applyBorder="1" applyAlignment="1">
      <alignment horizontal="center" wrapText="1"/>
    </xf>
    <xf numFmtId="0" fontId="10" fillId="0" borderId="0" xfId="0" applyFont="1" applyAlignment="1">
      <alignment horizontal="center"/>
    </xf>
    <xf numFmtId="0" fontId="12" fillId="0" borderId="3" xfId="0" applyFont="1" applyBorder="1" applyAlignment="1">
      <alignment horizontal="center"/>
    </xf>
    <xf numFmtId="0" fontId="12" fillId="0" borderId="3" xfId="0" applyFont="1" applyBorder="1" applyAlignment="1">
      <alignment horizontal="center" wrapText="1"/>
    </xf>
    <xf numFmtId="0" fontId="5" fillId="0" borderId="12" xfId="0" applyFont="1" applyBorder="1"/>
    <xf numFmtId="0" fontId="41" fillId="0" borderId="0" xfId="0" applyFont="1" applyAlignment="1">
      <alignment vertical="center"/>
    </xf>
    <xf numFmtId="9" fontId="0" fillId="0" borderId="0" xfId="5" applyFont="1" applyAlignment="1">
      <alignment horizontal="center"/>
    </xf>
    <xf numFmtId="0" fontId="23" fillId="0" borderId="50" xfId="0" applyFont="1" applyBorder="1" applyAlignment="1">
      <alignment wrapText="1"/>
    </xf>
    <xf numFmtId="0" fontId="0" fillId="0" borderId="65" xfId="0" applyBorder="1"/>
    <xf numFmtId="0" fontId="41" fillId="0" borderId="66" xfId="0" applyFont="1" applyBorder="1"/>
    <xf numFmtId="0" fontId="41" fillId="0" borderId="65" xfId="0" applyFont="1" applyBorder="1"/>
    <xf numFmtId="0" fontId="15" fillId="0" borderId="28" xfId="0" applyFont="1" applyBorder="1" applyAlignment="1">
      <alignment horizontal="right"/>
    </xf>
    <xf numFmtId="0" fontId="15" fillId="0" borderId="28" xfId="0" applyFont="1" applyBorder="1" applyAlignment="1">
      <alignment horizontal="center"/>
    </xf>
    <xf numFmtId="0" fontId="15" fillId="0" borderId="28" xfId="0" applyFont="1" applyBorder="1"/>
    <xf numFmtId="2" fontId="15" fillId="0" borderId="28" xfId="0" applyNumberFormat="1" applyFont="1" applyBorder="1" applyAlignment="1">
      <alignment horizontal="center"/>
    </xf>
    <xf numFmtId="0" fontId="12" fillId="0" borderId="42" xfId="0" applyFont="1" applyBorder="1" applyAlignment="1">
      <alignment horizontal="center"/>
    </xf>
    <xf numFmtId="0" fontId="23" fillId="0" borderId="0" xfId="0" applyFont="1" applyAlignment="1">
      <alignment horizontal="left" wrapText="1"/>
    </xf>
    <xf numFmtId="0" fontId="52" fillId="0" borderId="0" xfId="0" applyFont="1" applyAlignment="1">
      <alignment vertical="top"/>
    </xf>
    <xf numFmtId="0" fontId="5" fillId="0" borderId="11" xfId="0" applyFont="1" applyBorder="1" applyAlignment="1">
      <alignment horizontal="center"/>
    </xf>
    <xf numFmtId="0" fontId="53" fillId="0" borderId="0" xfId="0" applyFont="1" applyAlignment="1">
      <alignment horizontal="center"/>
    </xf>
    <xf numFmtId="0" fontId="5" fillId="0" borderId="37" xfId="0" applyFont="1" applyBorder="1" applyAlignment="1">
      <alignment vertical="center"/>
    </xf>
    <xf numFmtId="0" fontId="0" fillId="0" borderId="29" xfId="0" applyBorder="1"/>
    <xf numFmtId="0" fontId="0" fillId="0" borderId="37" xfId="0" applyBorder="1"/>
    <xf numFmtId="0" fontId="54" fillId="3" borderId="0" xfId="0" applyFont="1" applyFill="1"/>
    <xf numFmtId="0" fontId="15" fillId="0" borderId="28" xfId="0" applyFont="1" applyBorder="1" applyAlignment="1">
      <alignment wrapText="1"/>
    </xf>
    <xf numFmtId="0" fontId="20" fillId="2" borderId="1" xfId="0" applyFont="1" applyFill="1" applyBorder="1" applyAlignment="1">
      <alignment horizontal="center" wrapText="1"/>
    </xf>
    <xf numFmtId="0" fontId="7" fillId="0" borderId="68" xfId="0" applyFont="1" applyBorder="1" applyAlignment="1">
      <alignment horizontal="center"/>
    </xf>
    <xf numFmtId="0" fontId="7" fillId="0" borderId="49" xfId="0" applyFont="1" applyBorder="1" applyAlignment="1">
      <alignment horizontal="center"/>
    </xf>
    <xf numFmtId="0" fontId="5" fillId="4" borderId="39" xfId="0" applyFont="1" applyFill="1" applyBorder="1" applyAlignment="1">
      <alignment horizontal="center"/>
    </xf>
    <xf numFmtId="0" fontId="5" fillId="4" borderId="31" xfId="0" applyFont="1" applyFill="1" applyBorder="1" applyAlignment="1">
      <alignment horizontal="center"/>
    </xf>
    <xf numFmtId="0" fontId="5" fillId="4" borderId="13" xfId="0" applyFont="1" applyFill="1" applyBorder="1" applyAlignment="1">
      <alignment horizontal="center"/>
    </xf>
    <xf numFmtId="0" fontId="5" fillId="4" borderId="69" xfId="0" applyFont="1" applyFill="1" applyBorder="1" applyAlignment="1">
      <alignment horizontal="center"/>
    </xf>
    <xf numFmtId="0" fontId="5" fillId="4" borderId="46" xfId="0" applyFont="1" applyFill="1" applyBorder="1" applyAlignment="1">
      <alignment horizontal="center"/>
    </xf>
    <xf numFmtId="0" fontId="5" fillId="4" borderId="20" xfId="0" applyFont="1" applyFill="1" applyBorder="1" applyAlignment="1">
      <alignment horizontal="center"/>
    </xf>
    <xf numFmtId="0" fontId="5" fillId="4" borderId="26" xfId="0" applyFont="1" applyFill="1" applyBorder="1" applyAlignment="1">
      <alignment horizontal="center"/>
    </xf>
    <xf numFmtId="0" fontId="5" fillId="4" borderId="53" xfId="0" applyFont="1" applyFill="1" applyBorder="1" applyAlignment="1">
      <alignment horizontal="center"/>
    </xf>
    <xf numFmtId="0" fontId="55" fillId="0" borderId="0" xfId="0" applyFont="1"/>
    <xf numFmtId="0" fontId="3" fillId="4" borderId="48" xfId="0" applyFont="1" applyFill="1" applyBorder="1"/>
    <xf numFmtId="0" fontId="7" fillId="0" borderId="8" xfId="0" applyFont="1" applyBorder="1" applyAlignment="1">
      <alignment horizontal="center" vertical="center"/>
    </xf>
    <xf numFmtId="0" fontId="3" fillId="4" borderId="21" xfId="0" applyFont="1" applyFill="1" applyBorder="1"/>
    <xf numFmtId="0" fontId="20" fillId="4" borderId="1" xfId="0" applyFont="1" applyFill="1" applyBorder="1" applyAlignment="1">
      <alignment horizontal="center" vertical="top" wrapText="1"/>
    </xf>
    <xf numFmtId="0" fontId="5" fillId="0" borderId="34" xfId="0" applyFont="1" applyBorder="1" applyAlignment="1">
      <alignment horizontal="center" vertical="center"/>
    </xf>
    <xf numFmtId="0" fontId="0" fillId="0" borderId="0" xfId="0" applyAlignment="1">
      <alignment vertical="center"/>
    </xf>
    <xf numFmtId="0" fontId="7" fillId="0" borderId="11" xfId="0" applyFont="1" applyBorder="1" applyAlignment="1">
      <alignment horizontal="center" vertical="center"/>
    </xf>
    <xf numFmtId="0" fontId="7" fillId="0" borderId="32" xfId="0" applyFont="1" applyBorder="1" applyAlignment="1">
      <alignment horizontal="left"/>
    </xf>
    <xf numFmtId="2" fontId="7" fillId="0" borderId="32" xfId="0" applyNumberFormat="1" applyFont="1" applyBorder="1" applyAlignment="1">
      <alignment horizontal="center" vertical="center"/>
    </xf>
    <xf numFmtId="0" fontId="58" fillId="0" borderId="0" xfId="0" applyFont="1"/>
    <xf numFmtId="165" fontId="0" fillId="0" borderId="0" xfId="0" applyNumberFormat="1"/>
    <xf numFmtId="0" fontId="5" fillId="0" borderId="0" xfId="0" applyFont="1" applyAlignment="1">
      <alignment horizontal="left" vertical="top" wrapText="1"/>
    </xf>
    <xf numFmtId="168" fontId="5" fillId="0" borderId="0" xfId="0" applyNumberFormat="1" applyFont="1"/>
    <xf numFmtId="168" fontId="5" fillId="0" borderId="0" xfId="5" applyNumberFormat="1" applyFont="1"/>
    <xf numFmtId="168" fontId="7" fillId="0" borderId="0" xfId="0" applyNumberFormat="1" applyFont="1"/>
    <xf numFmtId="168" fontId="7" fillId="0" borderId="0" xfId="5" applyNumberFormat="1" applyFont="1"/>
    <xf numFmtId="0" fontId="7" fillId="0" borderId="10" xfId="0" applyFont="1" applyBorder="1" applyAlignment="1">
      <alignment horizontal="center"/>
    </xf>
    <xf numFmtId="0" fontId="17" fillId="0" borderId="43" xfId="0" applyFont="1" applyBorder="1" applyAlignment="1">
      <alignment horizontal="center" vertical="center"/>
    </xf>
    <xf numFmtId="0" fontId="16" fillId="0" borderId="0" xfId="1"/>
    <xf numFmtId="0" fontId="60" fillId="0" borderId="28" xfId="0" applyFont="1" applyBorder="1" applyAlignment="1">
      <alignment horizontal="left" vertical="top" wrapText="1"/>
    </xf>
    <xf numFmtId="0" fontId="60" fillId="0" borderId="66" xfId="0" applyFont="1" applyBorder="1" applyAlignment="1">
      <alignment horizontal="left" vertical="top" wrapText="1"/>
    </xf>
    <xf numFmtId="0" fontId="60" fillId="0" borderId="28" xfId="0" applyFont="1" applyBorder="1" applyAlignment="1">
      <alignment horizontal="right" vertical="top" wrapText="1"/>
    </xf>
    <xf numFmtId="0" fontId="60" fillId="0" borderId="0" xfId="0" applyFont="1" applyAlignment="1">
      <alignment horizontal="left" vertical="top" wrapText="1"/>
    </xf>
    <xf numFmtId="0" fontId="27" fillId="0" borderId="0" xfId="0" applyFont="1" applyAlignment="1">
      <alignment horizontal="center"/>
    </xf>
    <xf numFmtId="0" fontId="28" fillId="0" borderId="0" xfId="0" applyFont="1" applyAlignment="1">
      <alignment vertical="top"/>
    </xf>
    <xf numFmtId="0" fontId="35" fillId="0" borderId="66" xfId="0" applyFont="1" applyBorder="1"/>
    <xf numFmtId="0" fontId="5" fillId="0" borderId="65" xfId="0" applyFont="1" applyBorder="1" applyAlignment="1">
      <alignment horizontal="center" vertical="center" wrapText="1"/>
    </xf>
    <xf numFmtId="0" fontId="0" fillId="0" borderId="66" xfId="0" applyBorder="1"/>
    <xf numFmtId="0" fontId="5" fillId="0" borderId="66" xfId="0" applyFont="1" applyBorder="1" applyAlignment="1">
      <alignment horizontal="left"/>
    </xf>
    <xf numFmtId="0" fontId="0" fillId="0" borderId="65" xfId="0" applyBorder="1" applyAlignment="1">
      <alignment horizontal="center" vertical="center"/>
    </xf>
    <xf numFmtId="0" fontId="14" fillId="0" borderId="66" xfId="0" applyFont="1" applyBorder="1"/>
    <xf numFmtId="0" fontId="5" fillId="0" borderId="66" xfId="0" applyFont="1" applyBorder="1"/>
    <xf numFmtId="0" fontId="55" fillId="0" borderId="66" xfId="0" applyFont="1" applyBorder="1"/>
    <xf numFmtId="0" fontId="7" fillId="0" borderId="9" xfId="0" applyFont="1" applyBorder="1" applyAlignment="1">
      <alignment horizontal="center" vertical="center"/>
    </xf>
    <xf numFmtId="0" fontId="17" fillId="0" borderId="8" xfId="0" applyFont="1" applyBorder="1" applyAlignment="1">
      <alignment horizontal="center" vertical="center" wrapText="1"/>
    </xf>
    <xf numFmtId="0" fontId="7" fillId="0" borderId="43" xfId="0" applyFont="1" applyBorder="1" applyAlignment="1">
      <alignment horizontal="center" vertical="center"/>
    </xf>
    <xf numFmtId="0" fontId="17" fillId="0" borderId="10" xfId="0" applyFont="1" applyBorder="1" applyAlignment="1">
      <alignment horizontal="center" vertical="center"/>
    </xf>
    <xf numFmtId="0" fontId="5" fillId="0" borderId="38" xfId="0" applyFont="1" applyBorder="1" applyAlignment="1">
      <alignment horizontal="center"/>
    </xf>
    <xf numFmtId="167" fontId="7" fillId="0" borderId="17" xfId="0" applyNumberFormat="1" applyFont="1" applyBorder="1" applyAlignment="1">
      <alignment horizontal="center" vertical="center"/>
    </xf>
    <xf numFmtId="0" fontId="12" fillId="0" borderId="0" xfId="0" applyFont="1" applyAlignment="1">
      <alignment horizontal="center" vertical="center"/>
    </xf>
    <xf numFmtId="0" fontId="7" fillId="0" borderId="17" xfId="0" applyFont="1" applyBorder="1" applyAlignment="1">
      <alignment horizontal="center" vertical="center"/>
    </xf>
    <xf numFmtId="0" fontId="17" fillId="0" borderId="18" xfId="0" applyFont="1" applyBorder="1" applyAlignment="1">
      <alignment horizontal="center"/>
    </xf>
    <xf numFmtId="0" fontId="17" fillId="0" borderId="9" xfId="0" applyFont="1" applyBorder="1" applyAlignment="1">
      <alignment horizontal="center" vertical="center"/>
    </xf>
    <xf numFmtId="0" fontId="0" fillId="0" borderId="43" xfId="0" applyBorder="1" applyAlignment="1">
      <alignment horizontal="center"/>
    </xf>
    <xf numFmtId="0" fontId="0" fillId="0" borderId="77" xfId="0" applyBorder="1" applyAlignment="1">
      <alignment horizontal="center"/>
    </xf>
    <xf numFmtId="0" fontId="0" fillId="0" borderId="77" xfId="0" applyBorder="1"/>
    <xf numFmtId="2" fontId="5" fillId="4" borderId="28" xfId="0" applyNumberFormat="1" applyFont="1" applyFill="1" applyBorder="1" applyAlignment="1">
      <alignment horizontal="center"/>
    </xf>
    <xf numFmtId="2" fontId="5" fillId="4" borderId="52" xfId="0" applyNumberFormat="1" applyFont="1" applyFill="1" applyBorder="1" applyAlignment="1">
      <alignment horizontal="center"/>
    </xf>
    <xf numFmtId="0" fontId="0" fillId="0" borderId="47" xfId="0" applyBorder="1"/>
    <xf numFmtId="0" fontId="0" fillId="0" borderId="28" xfId="0" applyBorder="1"/>
    <xf numFmtId="0" fontId="0" fillId="0" borderId="13" xfId="0" applyBorder="1"/>
    <xf numFmtId="0" fontId="17" fillId="0" borderId="0" xfId="0" applyFont="1" applyAlignment="1">
      <alignment horizontal="center"/>
    </xf>
    <xf numFmtId="0" fontId="17" fillId="0" borderId="77" xfId="0" applyFont="1" applyBorder="1" applyAlignment="1">
      <alignment horizontal="center"/>
    </xf>
    <xf numFmtId="0" fontId="7" fillId="0" borderId="77" xfId="0" applyFont="1" applyBorder="1" applyAlignment="1">
      <alignment horizontal="center" vertical="center"/>
    </xf>
    <xf numFmtId="0" fontId="7" fillId="0" borderId="28" xfId="0" applyFont="1" applyBorder="1" applyAlignment="1">
      <alignment horizontal="center" vertical="center"/>
    </xf>
    <xf numFmtId="0" fontId="17" fillId="0" borderId="28" xfId="0" applyFont="1" applyBorder="1" applyAlignment="1">
      <alignment horizontal="center"/>
    </xf>
    <xf numFmtId="4" fontId="7" fillId="0" borderId="28" xfId="0" applyNumberFormat="1" applyFont="1" applyBorder="1" applyAlignment="1">
      <alignment vertical="center"/>
    </xf>
    <xf numFmtId="0" fontId="5" fillId="0" borderId="28" xfId="0" applyFont="1" applyBorder="1" applyAlignment="1">
      <alignment horizontal="center"/>
    </xf>
    <xf numFmtId="0" fontId="7" fillId="0" borderId="70" xfId="0" applyFont="1" applyBorder="1" applyAlignment="1">
      <alignment horizontal="center" vertical="center"/>
    </xf>
    <xf numFmtId="0" fontId="17" fillId="0" borderId="10" xfId="0" applyFont="1" applyBorder="1" applyAlignment="1">
      <alignment horizontal="center"/>
    </xf>
    <xf numFmtId="0" fontId="5" fillId="0" borderId="42" xfId="0" applyFont="1" applyBorder="1" applyAlignment="1">
      <alignment horizontal="center"/>
    </xf>
    <xf numFmtId="0" fontId="5" fillId="0" borderId="0" xfId="0" applyFont="1" applyAlignment="1">
      <alignment vertical="center"/>
    </xf>
    <xf numFmtId="0" fontId="7" fillId="0" borderId="20" xfId="0" applyFont="1" applyBorder="1" applyAlignment="1">
      <alignment horizontal="center" vertical="center"/>
    </xf>
    <xf numFmtId="0" fontId="17" fillId="0" borderId="21" xfId="0" applyFont="1" applyBorder="1" applyAlignment="1">
      <alignment horizontal="center"/>
    </xf>
    <xf numFmtId="167" fontId="7" fillId="0" borderId="20" xfId="0" applyNumberFormat="1" applyFont="1" applyBorder="1" applyAlignment="1">
      <alignment horizontal="center" vertical="center"/>
    </xf>
    <xf numFmtId="0" fontId="17" fillId="0" borderId="78" xfId="0" applyFont="1" applyBorder="1" applyAlignment="1">
      <alignment horizontal="center"/>
    </xf>
    <xf numFmtId="0" fontId="17" fillId="0" borderId="39" xfId="0" applyFont="1" applyBorder="1" applyAlignment="1">
      <alignment horizontal="center" vertical="center"/>
    </xf>
    <xf numFmtId="0" fontId="12" fillId="0" borderId="13" xfId="0" applyFont="1" applyBorder="1" applyAlignment="1">
      <alignment horizontal="center" vertical="center"/>
    </xf>
    <xf numFmtId="0" fontId="7" fillId="0" borderId="39" xfId="0" applyFont="1" applyBorder="1" applyAlignment="1">
      <alignment horizontal="center" vertical="center"/>
    </xf>
    <xf numFmtId="0" fontId="5" fillId="0" borderId="13" xfId="0" applyFont="1" applyBorder="1" applyAlignment="1">
      <alignment horizontal="center"/>
    </xf>
    <xf numFmtId="0" fontId="5" fillId="0" borderId="13" xfId="0" applyFont="1" applyBorder="1" applyAlignment="1">
      <alignment horizontal="center" vertical="center"/>
    </xf>
    <xf numFmtId="0" fontId="12" fillId="0" borderId="42" xfId="0" applyFont="1" applyBorder="1" applyAlignment="1">
      <alignment horizontal="center" vertical="center"/>
    </xf>
    <xf numFmtId="0" fontId="60" fillId="0" borderId="0" xfId="0" applyFont="1" applyAlignment="1">
      <alignment horizontal="center" vertical="center" wrapText="1"/>
    </xf>
    <xf numFmtId="0" fontId="17" fillId="0" borderId="0" xfId="0" applyFont="1" applyAlignment="1">
      <alignment horizontal="center" vertical="center"/>
    </xf>
    <xf numFmtId="0" fontId="0" fillId="0" borderId="49" xfId="0" applyBorder="1"/>
    <xf numFmtId="0" fontId="17" fillId="0" borderId="32" xfId="0" applyFont="1" applyBorder="1" applyAlignment="1">
      <alignment horizontal="center" vertical="center"/>
    </xf>
    <xf numFmtId="0" fontId="7" fillId="0" borderId="80" xfId="0" applyFont="1" applyBorder="1" applyAlignment="1">
      <alignment horizontal="center" vertical="center"/>
    </xf>
    <xf numFmtId="0" fontId="5" fillId="0" borderId="49" xfId="0" applyFont="1" applyBorder="1"/>
    <xf numFmtId="0" fontId="17" fillId="0" borderId="32" xfId="0" applyFont="1" applyBorder="1" applyAlignment="1">
      <alignment horizontal="center"/>
    </xf>
    <xf numFmtId="0" fontId="0" fillId="0" borderId="71" xfId="0" applyBorder="1"/>
    <xf numFmtId="0" fontId="0" fillId="0" borderId="79" xfId="0" applyBorder="1"/>
    <xf numFmtId="0" fontId="0" fillId="0" borderId="39" xfId="0" applyBorder="1" applyAlignment="1">
      <alignment horizontal="center" vertical="center"/>
    </xf>
    <xf numFmtId="4" fontId="12" fillId="4" borderId="7" xfId="0" applyNumberFormat="1" applyFont="1" applyFill="1" applyBorder="1" applyAlignment="1">
      <alignment vertical="center"/>
    </xf>
    <xf numFmtId="4" fontId="12" fillId="4" borderId="40" xfId="0" applyNumberFormat="1" applyFont="1" applyFill="1" applyBorder="1" applyAlignment="1">
      <alignment vertical="center"/>
    </xf>
    <xf numFmtId="167" fontId="0" fillId="0" borderId="43" xfId="0" applyNumberFormat="1" applyBorder="1" applyAlignment="1">
      <alignment horizontal="center" vertical="center"/>
    </xf>
    <xf numFmtId="0" fontId="0" fillId="0" borderId="39" xfId="0" applyBorder="1" applyAlignment="1">
      <alignment horizontal="center"/>
    </xf>
    <xf numFmtId="0" fontId="5" fillId="0" borderId="8" xfId="0" applyFont="1" applyBorder="1" applyAlignment="1">
      <alignment horizontal="center" vertical="center"/>
    </xf>
    <xf numFmtId="167" fontId="7" fillId="0" borderId="43" xfId="0" applyNumberFormat="1" applyFont="1" applyBorder="1" applyAlignment="1">
      <alignment horizontal="center" vertical="center"/>
    </xf>
    <xf numFmtId="0" fontId="17" fillId="0" borderId="39" xfId="0" applyFont="1" applyBorder="1" applyAlignment="1">
      <alignment horizontal="center"/>
    </xf>
    <xf numFmtId="2" fontId="5" fillId="4" borderId="3" xfId="0" applyNumberFormat="1" applyFont="1" applyFill="1" applyBorder="1" applyAlignment="1">
      <alignment horizontal="center"/>
    </xf>
    <xf numFmtId="2" fontId="5" fillId="4" borderId="5" xfId="0" applyNumberFormat="1" applyFont="1" applyFill="1" applyBorder="1" applyAlignment="1">
      <alignment horizontal="center"/>
    </xf>
    <xf numFmtId="0" fontId="17" fillId="0" borderId="30" xfId="0" applyFont="1" applyBorder="1" applyAlignment="1">
      <alignment horizontal="center"/>
    </xf>
    <xf numFmtId="0" fontId="7" fillId="0" borderId="45" xfId="0" applyFont="1" applyBorder="1" applyAlignment="1">
      <alignment horizontal="center" vertical="center"/>
    </xf>
    <xf numFmtId="4" fontId="0" fillId="0" borderId="13" xfId="0" applyNumberFormat="1" applyBorder="1" applyAlignment="1">
      <alignment horizontal="center" vertical="center"/>
    </xf>
    <xf numFmtId="4" fontId="12" fillId="0" borderId="71" xfId="0" applyNumberFormat="1" applyFont="1" applyBorder="1" applyAlignment="1">
      <alignment horizontal="center" vertical="center"/>
    </xf>
    <xf numFmtId="167" fontId="12" fillId="0" borderId="49" xfId="0" applyNumberFormat="1" applyFont="1" applyBorder="1" applyAlignment="1">
      <alignment horizontal="center"/>
    </xf>
    <xf numFmtId="0" fontId="7" fillId="0" borderId="39" xfId="0" applyFont="1" applyBorder="1" applyAlignment="1">
      <alignment horizontal="center"/>
    </xf>
    <xf numFmtId="167" fontId="5" fillId="0" borderId="43" xfId="0" applyNumberFormat="1" applyFont="1" applyBorder="1" applyAlignment="1">
      <alignment horizontal="center" vertical="center"/>
    </xf>
    <xf numFmtId="0" fontId="5" fillId="0" borderId="39" xfId="0" applyFont="1" applyBorder="1"/>
    <xf numFmtId="167" fontId="12" fillId="0" borderId="0" xfId="0" applyNumberFormat="1" applyFont="1" applyAlignment="1">
      <alignment horizontal="center" vertical="center"/>
    </xf>
    <xf numFmtId="167" fontId="12" fillId="0" borderId="39" xfId="0" applyNumberFormat="1" applyFont="1" applyBorder="1" applyAlignment="1">
      <alignment horizontal="center" vertical="center"/>
    </xf>
    <xf numFmtId="167" fontId="12" fillId="0" borderId="73" xfId="0" applyNumberFormat="1" applyFont="1" applyBorder="1" applyAlignment="1">
      <alignment horizontal="center" vertical="center"/>
    </xf>
    <xf numFmtId="4" fontId="7" fillId="0" borderId="0" xfId="0" applyNumberFormat="1" applyFont="1" applyAlignment="1">
      <alignment horizontal="center" vertical="center"/>
    </xf>
    <xf numFmtId="0" fontId="12" fillId="0" borderId="43" xfId="0" applyFont="1" applyBorder="1" applyAlignment="1">
      <alignment horizontal="center"/>
    </xf>
    <xf numFmtId="0" fontId="17" fillId="0" borderId="47" xfId="0" applyFont="1" applyBorder="1" applyAlignment="1">
      <alignment horizontal="center" vertical="center" wrapText="1"/>
    </xf>
    <xf numFmtId="0" fontId="17" fillId="0" borderId="47" xfId="0" applyFont="1" applyBorder="1" applyAlignment="1">
      <alignment horizontal="center" wrapText="1"/>
    </xf>
    <xf numFmtId="0" fontId="17" fillId="0" borderId="47" xfId="0" applyFont="1" applyBorder="1" applyAlignment="1">
      <alignment horizontal="center"/>
    </xf>
    <xf numFmtId="0" fontId="17" fillId="0" borderId="0" xfId="0" applyFont="1"/>
    <xf numFmtId="0" fontId="12" fillId="0" borderId="38" xfId="0" applyFont="1" applyBorder="1" applyAlignment="1">
      <alignment horizontal="center" vertical="center"/>
    </xf>
    <xf numFmtId="0" fontId="12" fillId="0" borderId="34" xfId="0" applyFont="1" applyBorder="1" applyAlignment="1">
      <alignment horizontal="center" vertical="center"/>
    </xf>
    <xf numFmtId="0" fontId="12" fillId="0" borderId="37" xfId="0" applyFont="1" applyBorder="1" applyAlignment="1">
      <alignment horizontal="center" vertical="center"/>
    </xf>
    <xf numFmtId="0" fontId="3" fillId="0" borderId="59" xfId="0" applyFont="1" applyBorder="1" applyAlignment="1">
      <alignment horizontal="center" vertical="center"/>
    </xf>
    <xf numFmtId="0" fontId="3" fillId="0" borderId="34" xfId="0" applyFont="1" applyBorder="1" applyAlignment="1">
      <alignment horizontal="center" vertical="center"/>
    </xf>
    <xf numFmtId="0" fontId="3" fillId="0" borderId="37" xfId="0" applyFont="1" applyBorder="1" applyAlignment="1">
      <alignment horizontal="center" vertical="center"/>
    </xf>
    <xf numFmtId="166" fontId="5" fillId="0" borderId="0" xfId="0" applyNumberFormat="1" applyFont="1" applyAlignment="1">
      <alignment horizontal="center" vertical="center"/>
    </xf>
    <xf numFmtId="0" fontId="17" fillId="0" borderId="8" xfId="0" applyFont="1" applyBorder="1" applyAlignment="1">
      <alignment horizontal="center" wrapText="1"/>
    </xf>
    <xf numFmtId="0" fontId="12" fillId="0" borderId="12" xfId="0" applyFont="1" applyBorder="1" applyAlignment="1">
      <alignment horizontal="center" vertical="center"/>
    </xf>
    <xf numFmtId="0" fontId="12" fillId="0" borderId="29" xfId="0" applyFont="1" applyBorder="1" applyAlignment="1">
      <alignment horizontal="center" vertical="center"/>
    </xf>
    <xf numFmtId="0" fontId="5" fillId="0" borderId="10" xfId="0" applyFont="1" applyBorder="1" applyAlignment="1">
      <alignment horizontal="center"/>
    </xf>
    <xf numFmtId="0" fontId="5" fillId="0" borderId="1" xfId="0" applyFont="1" applyBorder="1" applyAlignment="1">
      <alignment horizontal="center"/>
    </xf>
    <xf numFmtId="4" fontId="0" fillId="0" borderId="0" xfId="0" applyNumberFormat="1" applyAlignment="1">
      <alignment horizontal="center" vertical="center"/>
    </xf>
    <xf numFmtId="4" fontId="60" fillId="0" borderId="0" xfId="0" applyNumberFormat="1" applyFont="1" applyAlignment="1">
      <alignment horizontal="left" vertical="top" wrapText="1"/>
    </xf>
    <xf numFmtId="4" fontId="15" fillId="0" borderId="0" xfId="0" applyNumberFormat="1" applyFont="1" applyAlignment="1">
      <alignment vertical="top" wrapText="1"/>
    </xf>
    <xf numFmtId="4" fontId="17" fillId="0" borderId="43" xfId="0" applyNumberFormat="1" applyFont="1" applyBorder="1" applyAlignment="1">
      <alignment horizontal="center" vertical="center" wrapText="1"/>
    </xf>
    <xf numFmtId="4" fontId="17" fillId="0" borderId="47" xfId="0" applyNumberFormat="1" applyFont="1" applyBorder="1" applyAlignment="1">
      <alignment horizontal="center" vertical="center" wrapText="1"/>
    </xf>
    <xf numFmtId="4" fontId="0" fillId="0" borderId="32" xfId="0" applyNumberFormat="1" applyBorder="1"/>
    <xf numFmtId="0" fontId="25" fillId="0" borderId="0" xfId="0" applyFont="1" applyAlignment="1">
      <alignment horizontal="center"/>
    </xf>
    <xf numFmtId="0" fontId="12" fillId="0" borderId="13" xfId="0" applyFont="1" applyBorder="1" applyAlignment="1">
      <alignment horizontal="center"/>
    </xf>
    <xf numFmtId="0" fontId="7" fillId="0" borderId="35" xfId="0" applyFont="1" applyBorder="1" applyAlignment="1">
      <alignment horizontal="center" vertical="center"/>
    </xf>
    <xf numFmtId="0" fontId="3" fillId="4" borderId="26" xfId="0" applyFont="1" applyFill="1" applyBorder="1"/>
    <xf numFmtId="165" fontId="3" fillId="0" borderId="18" xfId="0" applyNumberFormat="1" applyFont="1" applyBorder="1" applyAlignment="1">
      <alignment horizontal="center" vertical="center"/>
    </xf>
    <xf numFmtId="0" fontId="17" fillId="0" borderId="3" xfId="0" applyFont="1" applyBorder="1" applyAlignment="1">
      <alignment horizontal="center" wrapText="1"/>
    </xf>
    <xf numFmtId="167" fontId="0" fillId="0" borderId="0" xfId="0" applyNumberFormat="1"/>
    <xf numFmtId="2" fontId="14" fillId="0" borderId="0" xfId="0" applyNumberFormat="1" applyFont="1" applyAlignment="1">
      <alignment horizontal="center"/>
    </xf>
    <xf numFmtId="0" fontId="0" fillId="0" borderId="0" xfId="0" applyAlignment="1">
      <alignment wrapText="1"/>
    </xf>
    <xf numFmtId="0" fontId="5" fillId="0" borderId="3" xfId="0" applyFont="1" applyBorder="1" applyAlignment="1">
      <alignment horizontal="left"/>
    </xf>
    <xf numFmtId="0" fontId="5" fillId="0" borderId="7" xfId="0" applyFont="1" applyBorder="1" applyAlignment="1">
      <alignment horizontal="left"/>
    </xf>
    <xf numFmtId="0" fontId="5" fillId="0" borderId="1" xfId="0" applyFont="1" applyBorder="1" applyAlignment="1">
      <alignment horizontal="left"/>
    </xf>
    <xf numFmtId="0" fontId="5" fillId="0" borderId="1" xfId="0" applyFont="1" applyBorder="1"/>
    <xf numFmtId="0" fontId="12" fillId="0" borderId="1" xfId="0" applyFont="1" applyBorder="1"/>
    <xf numFmtId="0" fontId="71" fillId="0" borderId="0" xfId="0" applyFont="1"/>
    <xf numFmtId="0" fontId="72" fillId="0" borderId="0" xfId="0" applyFont="1"/>
    <xf numFmtId="165" fontId="73" fillId="0" borderId="0" xfId="0" applyNumberFormat="1" applyFont="1" applyAlignment="1">
      <alignment horizontal="center"/>
    </xf>
    <xf numFmtId="0" fontId="72" fillId="0" borderId="0" xfId="0" applyFont="1" applyAlignment="1">
      <alignment horizontal="left"/>
    </xf>
    <xf numFmtId="0" fontId="73" fillId="0" borderId="0" xfId="0" applyFont="1"/>
    <xf numFmtId="165" fontId="5" fillId="0" borderId="1" xfId="0" applyNumberFormat="1" applyFont="1" applyBorder="1" applyAlignment="1">
      <alignment horizontal="center"/>
    </xf>
    <xf numFmtId="165" fontId="12" fillId="0" borderId="1" xfId="0" applyNumberFormat="1" applyFont="1" applyBorder="1" applyAlignment="1">
      <alignment horizontal="center"/>
    </xf>
    <xf numFmtId="166" fontId="5" fillId="0" borderId="1" xfId="0" applyNumberFormat="1" applyFont="1" applyBorder="1" applyAlignment="1">
      <alignment horizontal="center"/>
    </xf>
    <xf numFmtId="0" fontId="5" fillId="0" borderId="3" xfId="0" applyFont="1" applyBorder="1"/>
    <xf numFmtId="0" fontId="5" fillId="0" borderId="7" xfId="0" applyFont="1" applyBorder="1"/>
    <xf numFmtId="0" fontId="12" fillId="0" borderId="3" xfId="0" applyFont="1" applyBorder="1"/>
    <xf numFmtId="3" fontId="12" fillId="0" borderId="1" xfId="0" applyNumberFormat="1" applyFont="1" applyBorder="1" applyAlignment="1">
      <alignment horizontal="center"/>
    </xf>
    <xf numFmtId="0" fontId="74" fillId="0" borderId="0" xfId="1" applyFont="1"/>
    <xf numFmtId="2" fontId="5" fillId="0" borderId="0" xfId="0" applyNumberFormat="1" applyFont="1" applyAlignment="1">
      <alignment horizontal="center"/>
    </xf>
    <xf numFmtId="165" fontId="5" fillId="0" borderId="1" xfId="0" applyNumberFormat="1" applyFont="1" applyBorder="1" applyAlignment="1">
      <alignment horizontal="center" vertical="center"/>
    </xf>
    <xf numFmtId="0" fontId="5" fillId="0" borderId="1" xfId="0" applyFont="1" applyBorder="1" applyAlignment="1">
      <alignment horizontal="center" vertical="center"/>
    </xf>
    <xf numFmtId="1" fontId="5" fillId="0" borderId="1" xfId="0" applyNumberFormat="1" applyFont="1" applyBorder="1" applyAlignment="1">
      <alignment horizontal="center"/>
    </xf>
    <xf numFmtId="165" fontId="5" fillId="0" borderId="0" xfId="0" applyNumberFormat="1" applyFont="1" applyAlignment="1">
      <alignment horizontal="center"/>
    </xf>
    <xf numFmtId="165" fontId="5" fillId="0" borderId="0" xfId="0" applyNumberFormat="1" applyFont="1"/>
    <xf numFmtId="165" fontId="5" fillId="0" borderId="7" xfId="0" applyNumberFormat="1" applyFont="1" applyBorder="1" applyAlignment="1">
      <alignment horizontal="center"/>
    </xf>
    <xf numFmtId="0" fontId="5" fillId="0" borderId="65" xfId="0" applyFont="1" applyBorder="1"/>
    <xf numFmtId="165" fontId="12" fillId="0" borderId="0" xfId="0" applyNumberFormat="1" applyFont="1" applyAlignment="1">
      <alignment horizontal="center"/>
    </xf>
    <xf numFmtId="2" fontId="5" fillId="0" borderId="7" xfId="0" applyNumberFormat="1" applyFont="1" applyBorder="1" applyAlignment="1">
      <alignment horizontal="center"/>
    </xf>
    <xf numFmtId="0" fontId="12" fillId="0" borderId="3" xfId="0" applyFont="1" applyBorder="1" applyAlignment="1">
      <alignment horizontal="left"/>
    </xf>
    <xf numFmtId="0" fontId="12" fillId="0" borderId="7" xfId="0" applyFont="1" applyBorder="1" applyAlignment="1">
      <alignment horizontal="left"/>
    </xf>
    <xf numFmtId="0" fontId="5" fillId="0" borderId="7" xfId="0" applyFont="1" applyBorder="1" applyAlignment="1">
      <alignment horizontal="center"/>
    </xf>
    <xf numFmtId="0" fontId="5" fillId="0" borderId="3" xfId="0" applyFont="1" applyBorder="1" applyAlignment="1">
      <alignment horizontal="center" vertical="center"/>
    </xf>
    <xf numFmtId="0" fontId="5" fillId="0" borderId="3" xfId="0" applyFont="1" applyBorder="1" applyAlignment="1">
      <alignment horizontal="center"/>
    </xf>
    <xf numFmtId="0" fontId="5" fillId="0" borderId="54" xfId="0" applyFont="1" applyBorder="1" applyAlignment="1">
      <alignment horizontal="center"/>
    </xf>
    <xf numFmtId="0" fontId="5" fillId="0" borderId="41" xfId="0" applyFont="1" applyBorder="1" applyAlignment="1">
      <alignment horizontal="center" vertical="center" wrapText="1"/>
    </xf>
    <xf numFmtId="0" fontId="59" fillId="0" borderId="1" xfId="0" applyFont="1" applyBorder="1"/>
    <xf numFmtId="0" fontId="17" fillId="0" borderId="12" xfId="0" applyFont="1" applyBorder="1" applyAlignment="1">
      <alignment horizontal="center" vertical="center"/>
    </xf>
    <xf numFmtId="0" fontId="12" fillId="0" borderId="35" xfId="0" applyFont="1" applyBorder="1" applyAlignment="1">
      <alignment horizontal="center" wrapText="1"/>
    </xf>
    <xf numFmtId="0" fontId="12" fillId="0" borderId="10" xfId="0" applyFont="1" applyBorder="1" applyAlignment="1">
      <alignment horizontal="center" wrapText="1"/>
    </xf>
    <xf numFmtId="0" fontId="5" fillId="0" borderId="35" xfId="0" applyFont="1" applyBorder="1" applyAlignment="1">
      <alignment horizontal="center"/>
    </xf>
    <xf numFmtId="0" fontId="77" fillId="0" borderId="0" xfId="0" applyFont="1" applyAlignment="1">
      <alignment horizontal="center" vertical="center" wrapText="1"/>
    </xf>
    <xf numFmtId="0" fontId="7" fillId="0" borderId="32" xfId="0" applyFont="1" applyBorder="1" applyAlignment="1">
      <alignment horizontal="center"/>
    </xf>
    <xf numFmtId="0" fontId="17" fillId="0" borderId="32" xfId="0" applyFont="1" applyBorder="1" applyAlignment="1">
      <alignment horizontal="center" wrapText="1"/>
    </xf>
    <xf numFmtId="0" fontId="17" fillId="0" borderId="35" xfId="0" applyFont="1" applyBorder="1" applyAlignment="1">
      <alignment horizontal="center"/>
    </xf>
    <xf numFmtId="0" fontId="0" fillId="0" borderId="1" xfId="0" applyBorder="1"/>
    <xf numFmtId="0" fontId="5" fillId="0" borderId="0" xfId="0" applyFont="1" applyAlignment="1">
      <alignment wrapText="1"/>
    </xf>
    <xf numFmtId="0" fontId="72" fillId="0" borderId="1" xfId="0" applyFont="1" applyBorder="1"/>
    <xf numFmtId="0" fontId="79" fillId="0" borderId="0" xfId="0" applyFont="1"/>
    <xf numFmtId="0" fontId="20" fillId="8" borderId="1" xfId="0" applyFont="1" applyFill="1" applyBorder="1" applyAlignment="1">
      <alignment horizontal="center" vertical="top" wrapText="1"/>
    </xf>
    <xf numFmtId="167" fontId="12" fillId="8" borderId="45" xfId="0" applyNumberFormat="1" applyFont="1" applyFill="1" applyBorder="1" applyAlignment="1">
      <alignment horizontal="center"/>
    </xf>
    <xf numFmtId="167" fontId="5" fillId="8" borderId="7" xfId="0" applyNumberFormat="1" applyFont="1" applyFill="1" applyBorder="1" applyAlignment="1">
      <alignment horizontal="center"/>
    </xf>
    <xf numFmtId="167" fontId="12" fillId="8" borderId="1" xfId="0" applyNumberFormat="1" applyFont="1" applyFill="1" applyBorder="1" applyAlignment="1">
      <alignment horizontal="center"/>
    </xf>
    <xf numFmtId="167" fontId="5" fillId="8" borderId="1" xfId="0" applyNumberFormat="1" applyFont="1" applyFill="1" applyBorder="1" applyAlignment="1">
      <alignment horizontal="center"/>
    </xf>
    <xf numFmtId="167" fontId="12" fillId="8" borderId="3" xfId="0" applyNumberFormat="1" applyFont="1" applyFill="1" applyBorder="1" applyAlignment="1">
      <alignment horizontal="center"/>
    </xf>
    <xf numFmtId="9" fontId="5" fillId="8" borderId="17" xfId="5" applyFont="1" applyFill="1" applyBorder="1" applyAlignment="1">
      <alignment horizontal="center"/>
    </xf>
    <xf numFmtId="9" fontId="5" fillId="8" borderId="13" xfId="5" applyFont="1" applyFill="1" applyBorder="1" applyAlignment="1">
      <alignment horizontal="center"/>
    </xf>
    <xf numFmtId="9" fontId="5" fillId="8" borderId="67" xfId="5" applyFont="1" applyFill="1" applyBorder="1" applyAlignment="1">
      <alignment horizontal="center"/>
    </xf>
    <xf numFmtId="0" fontId="20" fillId="9" borderId="1" xfId="0" applyFont="1" applyFill="1" applyBorder="1" applyAlignment="1">
      <alignment horizontal="center" vertical="top" wrapText="1"/>
    </xf>
    <xf numFmtId="167" fontId="12" fillId="9" borderId="1" xfId="0" applyNumberFormat="1" applyFont="1" applyFill="1" applyBorder="1" applyAlignment="1">
      <alignment horizontal="center"/>
    </xf>
    <xf numFmtId="167" fontId="12" fillId="9" borderId="19" xfId="0" applyNumberFormat="1" applyFont="1" applyFill="1" applyBorder="1" applyAlignment="1">
      <alignment horizontal="center"/>
    </xf>
    <xf numFmtId="167" fontId="17" fillId="9" borderId="36" xfId="0" applyNumberFormat="1" applyFont="1" applyFill="1" applyBorder="1" applyAlignment="1">
      <alignment horizontal="center"/>
    </xf>
    <xf numFmtId="167" fontId="12" fillId="9" borderId="31" xfId="0" applyNumberFormat="1" applyFont="1" applyFill="1" applyBorder="1" applyAlignment="1">
      <alignment horizontal="center"/>
    </xf>
    <xf numFmtId="167" fontId="17" fillId="9" borderId="31" xfId="0" applyNumberFormat="1" applyFont="1" applyFill="1" applyBorder="1" applyAlignment="1">
      <alignment horizontal="center"/>
    </xf>
    <xf numFmtId="167" fontId="17" fillId="9" borderId="1" xfId="0" applyNumberFormat="1" applyFont="1" applyFill="1" applyBorder="1" applyAlignment="1">
      <alignment horizontal="center"/>
    </xf>
    <xf numFmtId="167" fontId="17" fillId="9" borderId="19" xfId="0" applyNumberFormat="1" applyFont="1" applyFill="1" applyBorder="1" applyAlignment="1">
      <alignment horizontal="center"/>
    </xf>
    <xf numFmtId="167" fontId="17" fillId="9" borderId="7" xfId="0" applyNumberFormat="1" applyFont="1" applyFill="1" applyBorder="1" applyAlignment="1">
      <alignment horizontal="center"/>
    </xf>
    <xf numFmtId="167" fontId="17" fillId="9" borderId="11" xfId="0" applyNumberFormat="1" applyFont="1" applyFill="1" applyBorder="1" applyAlignment="1">
      <alignment horizontal="center"/>
    </xf>
    <xf numFmtId="167" fontId="17" fillId="9" borderId="9" xfId="0" applyNumberFormat="1" applyFont="1" applyFill="1" applyBorder="1" applyAlignment="1">
      <alignment horizontal="center"/>
    </xf>
    <xf numFmtId="167" fontId="17" fillId="9" borderId="35" xfId="0" applyNumberFormat="1" applyFont="1" applyFill="1" applyBorder="1" applyAlignment="1">
      <alignment horizontal="center"/>
    </xf>
    <xf numFmtId="167" fontId="17" fillId="9" borderId="8" xfId="0" applyNumberFormat="1" applyFont="1" applyFill="1" applyBorder="1" applyAlignment="1">
      <alignment horizontal="center"/>
    </xf>
    <xf numFmtId="164" fontId="3" fillId="8" borderId="1" xfId="0" applyNumberFormat="1" applyFont="1" applyFill="1" applyBorder="1" applyAlignment="1">
      <alignment horizontal="center" vertical="center"/>
    </xf>
    <xf numFmtId="164" fontId="3" fillId="8" borderId="1" xfId="0" applyNumberFormat="1" applyFont="1" applyFill="1" applyBorder="1" applyAlignment="1">
      <alignment horizontal="center"/>
    </xf>
    <xf numFmtId="0" fontId="9" fillId="8" borderId="1" xfId="0" applyFont="1" applyFill="1" applyBorder="1" applyAlignment="1">
      <alignment horizontal="center" wrapText="1"/>
    </xf>
    <xf numFmtId="0" fontId="20" fillId="9" borderId="1" xfId="0" applyFont="1" applyFill="1" applyBorder="1" applyAlignment="1">
      <alignment horizontal="center" wrapText="1"/>
    </xf>
    <xf numFmtId="0" fontId="20" fillId="10" borderId="41" xfId="0" applyFont="1" applyFill="1" applyBorder="1" applyAlignment="1">
      <alignment horizontal="center" vertical="top" wrapText="1"/>
    </xf>
    <xf numFmtId="165" fontId="3" fillId="10" borderId="43" xfId="0" applyNumberFormat="1" applyFont="1" applyFill="1" applyBorder="1" applyAlignment="1">
      <alignment horizontal="center" vertical="center"/>
    </xf>
    <xf numFmtId="0" fontId="3" fillId="10" borderId="39" xfId="0" applyFont="1" applyFill="1" applyBorder="1" applyAlignment="1">
      <alignment horizontal="center" vertical="center"/>
    </xf>
    <xf numFmtId="0" fontId="3" fillId="10" borderId="53" xfId="0" applyFont="1" applyFill="1" applyBorder="1" applyAlignment="1">
      <alignment horizontal="center" vertical="center"/>
    </xf>
    <xf numFmtId="167" fontId="3" fillId="8" borderId="45" xfId="0" applyNumberFormat="1" applyFont="1" applyFill="1" applyBorder="1" applyAlignment="1">
      <alignment horizontal="center"/>
    </xf>
    <xf numFmtId="167" fontId="3" fillId="8" borderId="14" xfId="0" applyNumberFormat="1" applyFont="1" applyFill="1" applyBorder="1" applyAlignment="1">
      <alignment horizontal="center"/>
    </xf>
    <xf numFmtId="167" fontId="5" fillId="9" borderId="33" xfId="0" applyNumberFormat="1" applyFont="1" applyFill="1" applyBorder="1" applyAlignment="1">
      <alignment horizontal="center"/>
    </xf>
    <xf numFmtId="0" fontId="20" fillId="9" borderId="41" xfId="0" applyFont="1" applyFill="1" applyBorder="1" applyAlignment="1">
      <alignment horizontal="center" vertical="top" wrapText="1"/>
    </xf>
    <xf numFmtId="167" fontId="7" fillId="9" borderId="8" xfId="0" applyNumberFormat="1" applyFont="1" applyFill="1" applyBorder="1" applyAlignment="1">
      <alignment horizontal="center"/>
    </xf>
    <xf numFmtId="167" fontId="7" fillId="9" borderId="10" xfId="0" applyNumberFormat="1" applyFont="1" applyFill="1" applyBorder="1" applyAlignment="1">
      <alignment horizontal="center"/>
    </xf>
    <xf numFmtId="167" fontId="7" fillId="9" borderId="9" xfId="0" applyNumberFormat="1" applyFont="1" applyFill="1" applyBorder="1" applyAlignment="1">
      <alignment horizontal="center"/>
    </xf>
    <xf numFmtId="0" fontId="20" fillId="8" borderId="41" xfId="0" applyFont="1" applyFill="1" applyBorder="1" applyAlignment="1">
      <alignment horizontal="center" vertical="top" wrapText="1"/>
    </xf>
    <xf numFmtId="167" fontId="5" fillId="8" borderId="45" xfId="0" applyNumberFormat="1" applyFont="1" applyFill="1" applyBorder="1" applyAlignment="1">
      <alignment horizontal="center"/>
    </xf>
    <xf numFmtId="167" fontId="5" fillId="8" borderId="36" xfId="0" applyNumberFormat="1" applyFont="1" applyFill="1" applyBorder="1" applyAlignment="1">
      <alignment horizontal="center"/>
    </xf>
    <xf numFmtId="167" fontId="6" fillId="9" borderId="8" xfId="0" applyNumberFormat="1" applyFont="1" applyFill="1" applyBorder="1" applyAlignment="1">
      <alignment horizontal="center"/>
    </xf>
    <xf numFmtId="167" fontId="6" fillId="9" borderId="42" xfId="0" applyNumberFormat="1" applyFont="1" applyFill="1" applyBorder="1" applyAlignment="1">
      <alignment horizontal="center"/>
    </xf>
    <xf numFmtId="167" fontId="6" fillId="9" borderId="10" xfId="0" applyNumberFormat="1" applyFont="1" applyFill="1" applyBorder="1" applyAlignment="1">
      <alignment horizontal="center"/>
    </xf>
    <xf numFmtId="167" fontId="6" fillId="9" borderId="35" xfId="0" applyNumberFormat="1" applyFont="1" applyFill="1" applyBorder="1" applyAlignment="1">
      <alignment horizontal="center"/>
    </xf>
    <xf numFmtId="167" fontId="5" fillId="9" borderId="9" xfId="0" applyNumberFormat="1" applyFont="1" applyFill="1" applyBorder="1" applyAlignment="1">
      <alignment horizontal="center"/>
    </xf>
    <xf numFmtId="167" fontId="3" fillId="9" borderId="35" xfId="0" applyNumberFormat="1" applyFont="1" applyFill="1" applyBorder="1" applyAlignment="1">
      <alignment horizontal="center"/>
    </xf>
    <xf numFmtId="167" fontId="3" fillId="8" borderId="8" xfId="0" applyNumberFormat="1" applyFont="1" applyFill="1" applyBorder="1" applyAlignment="1">
      <alignment horizontal="center"/>
    </xf>
    <xf numFmtId="0" fontId="20" fillId="8" borderId="1" xfId="0" applyFont="1" applyFill="1" applyBorder="1" applyAlignment="1">
      <alignment horizontal="center" wrapText="1"/>
    </xf>
    <xf numFmtId="167" fontId="5" fillId="8" borderId="33" xfId="0" applyNumberFormat="1" applyFont="1" applyFill="1" applyBorder="1" applyAlignment="1">
      <alignment horizontal="center"/>
    </xf>
    <xf numFmtId="167" fontId="5" fillId="9" borderId="7" xfId="0" applyNumberFormat="1" applyFont="1" applyFill="1" applyBorder="1" applyAlignment="1">
      <alignment horizontal="center"/>
    </xf>
    <xf numFmtId="167" fontId="5" fillId="9" borderId="82" xfId="0" applyNumberFormat="1" applyFont="1" applyFill="1" applyBorder="1" applyAlignment="1">
      <alignment horizontal="center"/>
    </xf>
    <xf numFmtId="168" fontId="5" fillId="9" borderId="33" xfId="5" applyNumberFormat="1" applyFont="1" applyFill="1" applyBorder="1" applyAlignment="1">
      <alignment horizontal="center"/>
    </xf>
    <xf numFmtId="167" fontId="7" fillId="9" borderId="35" xfId="0" applyNumberFormat="1" applyFont="1" applyFill="1" applyBorder="1" applyAlignment="1">
      <alignment horizontal="center"/>
    </xf>
    <xf numFmtId="167" fontId="7" fillId="9" borderId="32" xfId="0" applyNumberFormat="1" applyFont="1" applyFill="1" applyBorder="1" applyAlignment="1">
      <alignment horizontal="center"/>
    </xf>
    <xf numFmtId="168" fontId="7" fillId="9" borderId="10" xfId="5" applyNumberFormat="1" applyFont="1" applyFill="1" applyBorder="1" applyAlignment="1">
      <alignment horizontal="center"/>
    </xf>
    <xf numFmtId="164" fontId="5" fillId="9" borderId="7" xfId="0" applyNumberFormat="1" applyFont="1" applyFill="1" applyBorder="1" applyAlignment="1">
      <alignment horizontal="center"/>
    </xf>
    <xf numFmtId="164" fontId="5" fillId="9" borderId="82" xfId="0" applyNumberFormat="1" applyFont="1" applyFill="1" applyBorder="1" applyAlignment="1">
      <alignment horizontal="center"/>
    </xf>
    <xf numFmtId="167" fontId="7" fillId="9" borderId="4" xfId="0" applyNumberFormat="1" applyFont="1" applyFill="1" applyBorder="1" applyAlignment="1">
      <alignment horizontal="center"/>
    </xf>
    <xf numFmtId="167" fontId="7" fillId="9" borderId="1" xfId="0" applyNumberFormat="1" applyFont="1" applyFill="1" applyBorder="1" applyAlignment="1">
      <alignment horizontal="center"/>
    </xf>
    <xf numFmtId="167" fontId="6" fillId="9" borderId="1" xfId="0" applyNumberFormat="1" applyFont="1" applyFill="1" applyBorder="1" applyAlignment="1">
      <alignment horizontal="center"/>
    </xf>
    <xf numFmtId="167" fontId="7" fillId="9" borderId="1" xfId="0" applyNumberFormat="1" applyFont="1" applyFill="1" applyBorder="1" applyAlignment="1">
      <alignment horizontal="center" vertical="center"/>
    </xf>
    <xf numFmtId="168" fontId="7" fillId="9" borderId="7" xfId="5" applyNumberFormat="1" applyFont="1" applyFill="1" applyBorder="1" applyAlignment="1">
      <alignment horizontal="center" vertical="center"/>
    </xf>
    <xf numFmtId="168" fontId="7" fillId="9" borderId="1" xfId="5" applyNumberFormat="1" applyFont="1" applyFill="1" applyBorder="1" applyAlignment="1">
      <alignment horizontal="center" vertical="center"/>
    </xf>
    <xf numFmtId="168" fontId="7" fillId="9" borderId="4" xfId="5" applyNumberFormat="1" applyFont="1" applyFill="1" applyBorder="1" applyAlignment="1">
      <alignment horizontal="center" vertical="center"/>
    </xf>
    <xf numFmtId="4" fontId="12" fillId="9" borderId="9" xfId="0" applyNumberFormat="1" applyFont="1" applyFill="1" applyBorder="1" applyAlignment="1">
      <alignment horizontal="center" vertical="center"/>
    </xf>
    <xf numFmtId="4" fontId="7" fillId="9" borderId="8" xfId="0" applyNumberFormat="1" applyFont="1" applyFill="1" applyBorder="1" applyAlignment="1">
      <alignment horizontal="center" vertical="center"/>
    </xf>
    <xf numFmtId="4" fontId="7" fillId="9" borderId="10" xfId="0" applyNumberFormat="1" applyFont="1" applyFill="1" applyBorder="1" applyAlignment="1">
      <alignment horizontal="center" vertical="center"/>
    </xf>
    <xf numFmtId="167" fontId="12" fillId="8" borderId="13" xfId="0" applyNumberFormat="1" applyFont="1" applyFill="1" applyBorder="1" applyAlignment="1">
      <alignment horizontal="center" vertical="center"/>
    </xf>
    <xf numFmtId="0" fontId="3" fillId="10" borderId="9" xfId="0" applyFont="1" applyFill="1" applyBorder="1" applyAlignment="1">
      <alignment horizontal="center" vertical="center"/>
    </xf>
    <xf numFmtId="0" fontId="3" fillId="10" borderId="42" xfId="0" applyFont="1" applyFill="1" applyBorder="1" applyAlignment="1">
      <alignment horizontal="center" vertical="center"/>
    </xf>
    <xf numFmtId="0" fontId="3" fillId="10" borderId="10" xfId="0" applyFont="1" applyFill="1" applyBorder="1" applyAlignment="1">
      <alignment horizontal="center" vertical="center"/>
    </xf>
    <xf numFmtId="4" fontId="12" fillId="8" borderId="28" xfId="0" applyNumberFormat="1" applyFont="1" applyFill="1" applyBorder="1" applyAlignment="1">
      <alignment horizontal="center" vertical="center"/>
    </xf>
    <xf numFmtId="4" fontId="12" fillId="8" borderId="52" xfId="0" applyNumberFormat="1" applyFont="1" applyFill="1" applyBorder="1" applyAlignment="1">
      <alignment horizontal="center" vertical="center"/>
    </xf>
    <xf numFmtId="4" fontId="12" fillId="8" borderId="72" xfId="0" applyNumberFormat="1" applyFont="1" applyFill="1" applyBorder="1" applyAlignment="1">
      <alignment horizontal="center" vertical="center"/>
    </xf>
    <xf numFmtId="4" fontId="12" fillId="8" borderId="47" xfId="0" applyNumberFormat="1" applyFont="1" applyFill="1" applyBorder="1" applyAlignment="1">
      <alignment horizontal="center" vertical="center"/>
    </xf>
    <xf numFmtId="4" fontId="12" fillId="8" borderId="48" xfId="0" applyNumberFormat="1" applyFont="1" applyFill="1" applyBorder="1" applyAlignment="1">
      <alignment horizontal="center" vertical="center"/>
    </xf>
    <xf numFmtId="4" fontId="17" fillId="9" borderId="32" xfId="0" applyNumberFormat="1" applyFont="1" applyFill="1" applyBorder="1" applyAlignment="1">
      <alignment horizontal="center"/>
    </xf>
    <xf numFmtId="167" fontId="12" fillId="9" borderId="9" xfId="0" applyNumberFormat="1" applyFont="1" applyFill="1" applyBorder="1" applyAlignment="1">
      <alignment horizontal="center"/>
    </xf>
    <xf numFmtId="4" fontId="12" fillId="9" borderId="9" xfId="0" applyNumberFormat="1" applyFont="1" applyFill="1" applyBorder="1" applyAlignment="1">
      <alignment horizontal="center"/>
    </xf>
    <xf numFmtId="167" fontId="12" fillId="9" borderId="42" xfId="0" applyNumberFormat="1" applyFont="1" applyFill="1" applyBorder="1" applyAlignment="1">
      <alignment horizontal="center"/>
    </xf>
    <xf numFmtId="167" fontId="12" fillId="9" borderId="35" xfId="0" applyNumberFormat="1" applyFont="1" applyFill="1" applyBorder="1" applyAlignment="1">
      <alignment horizontal="center"/>
    </xf>
    <xf numFmtId="167" fontId="12" fillId="9" borderId="10" xfId="0" applyNumberFormat="1" applyFont="1" applyFill="1" applyBorder="1" applyAlignment="1">
      <alignment horizontal="center"/>
    </xf>
    <xf numFmtId="4" fontId="12" fillId="9" borderId="10" xfId="0" applyNumberFormat="1" applyFont="1" applyFill="1" applyBorder="1" applyAlignment="1">
      <alignment horizontal="center"/>
    </xf>
    <xf numFmtId="4" fontId="12" fillId="9" borderId="42" xfId="0" applyNumberFormat="1" applyFont="1" applyFill="1" applyBorder="1" applyAlignment="1">
      <alignment horizontal="center"/>
    </xf>
    <xf numFmtId="4" fontId="5" fillId="9" borderId="9" xfId="0" applyNumberFormat="1" applyFont="1" applyFill="1" applyBorder="1" applyAlignment="1">
      <alignment horizontal="center" vertical="center"/>
    </xf>
    <xf numFmtId="4" fontId="5" fillId="9" borderId="42" xfId="0" applyNumberFormat="1" applyFont="1" applyFill="1" applyBorder="1" applyAlignment="1">
      <alignment horizontal="center" vertical="center"/>
    </xf>
    <xf numFmtId="4" fontId="5" fillId="9" borderId="10" xfId="0" applyNumberFormat="1" applyFont="1" applyFill="1" applyBorder="1" applyAlignment="1">
      <alignment horizontal="center" vertical="center"/>
    </xf>
    <xf numFmtId="167" fontId="12" fillId="8" borderId="53" xfId="0" applyNumberFormat="1" applyFont="1" applyFill="1" applyBorder="1" applyAlignment="1">
      <alignment horizontal="center" vertical="center" wrapText="1"/>
    </xf>
    <xf numFmtId="167" fontId="12" fillId="8" borderId="13" xfId="0" applyNumberFormat="1" applyFont="1" applyFill="1" applyBorder="1" applyAlignment="1">
      <alignment horizontal="center" vertical="center" wrapText="1"/>
    </xf>
    <xf numFmtId="167" fontId="12" fillId="8" borderId="9" xfId="0" applyNumberFormat="1" applyFont="1" applyFill="1" applyBorder="1" applyAlignment="1">
      <alignment horizontal="center" vertical="center" wrapText="1"/>
    </xf>
    <xf numFmtId="167" fontId="12" fillId="8" borderId="35" xfId="0" applyNumberFormat="1" applyFont="1" applyFill="1" applyBorder="1" applyAlignment="1">
      <alignment horizontal="center" vertical="center" wrapText="1"/>
    </xf>
    <xf numFmtId="167" fontId="12" fillId="8" borderId="26" xfId="0" applyNumberFormat="1" applyFont="1" applyFill="1" applyBorder="1" applyAlignment="1">
      <alignment horizontal="center" vertical="center"/>
    </xf>
    <xf numFmtId="167" fontId="12" fillId="8" borderId="10" xfId="0" applyNumberFormat="1" applyFont="1" applyFill="1" applyBorder="1" applyAlignment="1">
      <alignment horizontal="center" vertical="center"/>
    </xf>
    <xf numFmtId="167" fontId="12" fillId="8" borderId="46" xfId="0" applyNumberFormat="1" applyFont="1" applyFill="1" applyBorder="1" applyAlignment="1">
      <alignment horizontal="center" vertical="center" wrapText="1"/>
    </xf>
    <xf numFmtId="4" fontId="12" fillId="8" borderId="9" xfId="0" applyNumberFormat="1" applyFont="1" applyFill="1" applyBorder="1" applyAlignment="1">
      <alignment horizontal="center"/>
    </xf>
    <xf numFmtId="4" fontId="12" fillId="8" borderId="12" xfId="0" applyNumberFormat="1" applyFont="1" applyFill="1" applyBorder="1" applyAlignment="1">
      <alignment horizontal="center"/>
    </xf>
    <xf numFmtId="4" fontId="5" fillId="9" borderId="12" xfId="0" applyNumberFormat="1" applyFont="1" applyFill="1" applyBorder="1" applyAlignment="1">
      <alignment horizontal="center" vertical="center"/>
    </xf>
    <xf numFmtId="4" fontId="7" fillId="9" borderId="32" xfId="0" applyNumberFormat="1" applyFont="1" applyFill="1" applyBorder="1" applyAlignment="1">
      <alignment horizontal="center" vertical="center"/>
    </xf>
    <xf numFmtId="2" fontId="5" fillId="9" borderId="3" xfId="0" applyNumberFormat="1" applyFont="1" applyFill="1" applyBorder="1" applyAlignment="1">
      <alignment horizontal="center"/>
    </xf>
    <xf numFmtId="2" fontId="5" fillId="9" borderId="5" xfId="0" applyNumberFormat="1" applyFont="1" applyFill="1" applyBorder="1" applyAlignment="1">
      <alignment horizontal="center"/>
    </xf>
    <xf numFmtId="2" fontId="5" fillId="9" borderId="19" xfId="0" applyNumberFormat="1" applyFont="1" applyFill="1" applyBorder="1" applyAlignment="1">
      <alignment horizontal="center"/>
    </xf>
    <xf numFmtId="2" fontId="5" fillId="9" borderId="21" xfId="0" applyNumberFormat="1" applyFont="1" applyFill="1" applyBorder="1" applyAlignment="1">
      <alignment horizontal="center"/>
    </xf>
    <xf numFmtId="2" fontId="5" fillId="9" borderId="35" xfId="0" applyNumberFormat="1" applyFont="1" applyFill="1" applyBorder="1" applyAlignment="1">
      <alignment horizontal="center" vertical="center"/>
    </xf>
    <xf numFmtId="2" fontId="5" fillId="9" borderId="9" xfId="0" applyNumberFormat="1" applyFont="1" applyFill="1" applyBorder="1" applyAlignment="1">
      <alignment horizontal="center" vertical="center"/>
    </xf>
    <xf numFmtId="2" fontId="5" fillId="9" borderId="10" xfId="0" applyNumberFormat="1" applyFont="1" applyFill="1" applyBorder="1" applyAlignment="1">
      <alignment horizontal="center" vertical="center"/>
    </xf>
    <xf numFmtId="4" fontId="5" fillId="8" borderId="67" xfId="0" applyNumberFormat="1" applyFont="1" applyFill="1" applyBorder="1" applyAlignment="1">
      <alignment horizontal="center"/>
    </xf>
    <xf numFmtId="4" fontId="5" fillId="8" borderId="31" xfId="0" applyNumberFormat="1" applyFont="1" applyFill="1" applyBorder="1" applyAlignment="1">
      <alignment horizontal="center"/>
    </xf>
    <xf numFmtId="4" fontId="5" fillId="8" borderId="69" xfId="0" applyNumberFormat="1" applyFont="1" applyFill="1" applyBorder="1" applyAlignment="1">
      <alignment horizontal="center"/>
    </xf>
    <xf numFmtId="4" fontId="12" fillId="8" borderId="67" xfId="4" applyNumberFormat="1" applyFont="1" applyFill="1" applyBorder="1" applyAlignment="1">
      <alignment horizontal="center" vertical="center"/>
    </xf>
    <xf numFmtId="4" fontId="12" fillId="8" borderId="31" xfId="0" applyNumberFormat="1" applyFont="1" applyFill="1" applyBorder="1" applyAlignment="1">
      <alignment horizontal="center" vertical="center"/>
    </xf>
    <xf numFmtId="4" fontId="12" fillId="8" borderId="20" xfId="0" applyNumberFormat="1" applyFont="1" applyFill="1" applyBorder="1" applyAlignment="1">
      <alignment horizontal="center" vertical="center"/>
    </xf>
    <xf numFmtId="4" fontId="5" fillId="8" borderId="36" xfId="0" applyNumberFormat="1" applyFont="1" applyFill="1" applyBorder="1" applyAlignment="1">
      <alignment horizontal="center"/>
    </xf>
    <xf numFmtId="0" fontId="5" fillId="11" borderId="8" xfId="0" applyFont="1" applyFill="1" applyBorder="1" applyAlignment="1">
      <alignment horizontal="left"/>
    </xf>
    <xf numFmtId="0" fontId="12" fillId="11" borderId="29" xfId="0" applyFont="1" applyFill="1" applyBorder="1" applyAlignment="1">
      <alignment horizontal="left"/>
    </xf>
    <xf numFmtId="2" fontId="5" fillId="11" borderId="29" xfId="0" applyNumberFormat="1" applyFont="1" applyFill="1" applyBorder="1" applyAlignment="1">
      <alignment horizontal="center" vertical="center"/>
    </xf>
    <xf numFmtId="2" fontId="5" fillId="11" borderId="8" xfId="0" applyNumberFormat="1" applyFont="1" applyFill="1" applyBorder="1" applyAlignment="1">
      <alignment horizontal="center" vertical="center"/>
    </xf>
    <xf numFmtId="0" fontId="5" fillId="12" borderId="8" xfId="0" applyFont="1" applyFill="1" applyBorder="1"/>
    <xf numFmtId="2" fontId="5" fillId="12" borderId="39" xfId="0" applyNumberFormat="1" applyFont="1" applyFill="1" applyBorder="1" applyAlignment="1">
      <alignment horizontal="center" vertical="center"/>
    </xf>
    <xf numFmtId="2" fontId="5" fillId="12" borderId="9" xfId="0" applyNumberFormat="1" applyFont="1" applyFill="1" applyBorder="1" applyAlignment="1">
      <alignment horizontal="center" vertical="center" wrapText="1"/>
    </xf>
    <xf numFmtId="2" fontId="5" fillId="12" borderId="13" xfId="0" applyNumberFormat="1" applyFont="1" applyFill="1" applyBorder="1" applyAlignment="1">
      <alignment horizontal="center" vertical="center" wrapText="1"/>
    </xf>
    <xf numFmtId="2" fontId="5" fillId="12" borderId="12" xfId="0" applyNumberFormat="1" applyFont="1" applyFill="1" applyBorder="1" applyAlignment="1">
      <alignment horizontal="center" vertical="center" wrapText="1"/>
    </xf>
    <xf numFmtId="2" fontId="5" fillId="12" borderId="70" xfId="0" applyNumberFormat="1" applyFont="1" applyFill="1" applyBorder="1" applyAlignment="1">
      <alignment horizontal="center" vertical="center" wrapText="1"/>
    </xf>
    <xf numFmtId="2" fontId="5" fillId="12" borderId="70" xfId="0" quotePrefix="1" applyNumberFormat="1" applyFont="1" applyFill="1" applyBorder="1" applyAlignment="1">
      <alignment horizontal="center" vertical="center" wrapText="1"/>
    </xf>
    <xf numFmtId="0" fontId="12" fillId="12" borderId="9" xfId="0" applyFont="1" applyFill="1" applyBorder="1"/>
    <xf numFmtId="0" fontId="5" fillId="12" borderId="12" xfId="0" applyFont="1" applyFill="1" applyBorder="1"/>
    <xf numFmtId="0" fontId="5" fillId="13" borderId="8" xfId="0" applyFont="1" applyFill="1" applyBorder="1" applyAlignment="1">
      <alignment horizontal="left"/>
    </xf>
    <xf numFmtId="2" fontId="5" fillId="13" borderId="39" xfId="0" applyNumberFormat="1" applyFont="1" applyFill="1" applyBorder="1" applyAlignment="1">
      <alignment horizontal="center" vertical="center"/>
    </xf>
    <xf numFmtId="2" fontId="12" fillId="13" borderId="31" xfId="0" applyNumberFormat="1" applyFont="1" applyFill="1" applyBorder="1" applyAlignment="1">
      <alignment horizontal="center" vertical="center"/>
    </xf>
    <xf numFmtId="2" fontId="12" fillId="13" borderId="9" xfId="0" applyNumberFormat="1" applyFont="1" applyFill="1" applyBorder="1" applyAlignment="1">
      <alignment horizontal="center" vertical="center"/>
    </xf>
    <xf numFmtId="2" fontId="5" fillId="13" borderId="42" xfId="0" applyNumberFormat="1" applyFont="1" applyFill="1" applyBorder="1" applyAlignment="1">
      <alignment horizontal="center" vertical="center"/>
    </xf>
    <xf numFmtId="2" fontId="5" fillId="13" borderId="9" xfId="0" applyNumberFormat="1" applyFont="1" applyFill="1" applyBorder="1" applyAlignment="1">
      <alignment horizontal="center" vertical="center"/>
    </xf>
    <xf numFmtId="2" fontId="5" fillId="13" borderId="35" xfId="0" applyNumberFormat="1" applyFont="1" applyFill="1" applyBorder="1" applyAlignment="1">
      <alignment horizontal="center" vertical="center"/>
    </xf>
    <xf numFmtId="0" fontId="12" fillId="13" borderId="35" xfId="0" applyFont="1" applyFill="1" applyBorder="1" applyAlignment="1">
      <alignment horizontal="left"/>
    </xf>
    <xf numFmtId="0" fontId="5" fillId="13" borderId="9" xfId="0" applyFont="1" applyFill="1" applyBorder="1" applyAlignment="1">
      <alignment horizontal="left"/>
    </xf>
    <xf numFmtId="0" fontId="12" fillId="13" borderId="9" xfId="0" applyFont="1" applyFill="1" applyBorder="1" applyAlignment="1">
      <alignment horizontal="left"/>
    </xf>
    <xf numFmtId="0" fontId="5" fillId="13" borderId="9" xfId="0" applyFont="1" applyFill="1" applyBorder="1"/>
    <xf numFmtId="0" fontId="12" fillId="13" borderId="72" xfId="0" applyFont="1" applyFill="1" applyBorder="1"/>
    <xf numFmtId="0" fontId="12" fillId="13" borderId="42" xfId="0" applyFont="1" applyFill="1" applyBorder="1" applyAlignment="1">
      <alignment vertical="center"/>
    </xf>
    <xf numFmtId="2" fontId="12" fillId="13" borderId="42" xfId="0" applyNumberFormat="1" applyFont="1" applyFill="1" applyBorder="1" applyAlignment="1">
      <alignment horizontal="center" vertical="center"/>
    </xf>
    <xf numFmtId="0" fontId="5" fillId="12" borderId="9" xfId="0" applyFont="1" applyFill="1" applyBorder="1" applyAlignment="1">
      <alignment vertical="center" wrapText="1"/>
    </xf>
    <xf numFmtId="2" fontId="5" fillId="12" borderId="9" xfId="0" applyNumberFormat="1" applyFont="1" applyFill="1" applyBorder="1" applyAlignment="1">
      <alignment horizontal="center" vertical="center"/>
    </xf>
    <xf numFmtId="0" fontId="5" fillId="11" borderId="8" xfId="0" applyFont="1" applyFill="1" applyBorder="1" applyAlignment="1">
      <alignment wrapText="1"/>
    </xf>
    <xf numFmtId="0" fontId="48" fillId="14" borderId="32" xfId="0" applyFont="1" applyFill="1" applyBorder="1" applyAlignment="1">
      <alignment vertical="center"/>
    </xf>
    <xf numFmtId="2" fontId="48" fillId="14" borderId="32" xfId="0" applyNumberFormat="1" applyFont="1" applyFill="1" applyBorder="1" applyAlignment="1">
      <alignment horizontal="center" vertical="center"/>
    </xf>
    <xf numFmtId="2" fontId="48" fillId="14" borderId="32" xfId="0" applyNumberFormat="1" applyFont="1" applyFill="1" applyBorder="1" applyAlignment="1">
      <alignment horizontal="left" vertical="center"/>
    </xf>
    <xf numFmtId="0" fontId="48" fillId="14" borderId="3" xfId="0" applyFont="1" applyFill="1" applyBorder="1"/>
    <xf numFmtId="0" fontId="48" fillId="14" borderId="7" xfId="0" applyFont="1" applyFill="1" applyBorder="1"/>
    <xf numFmtId="0" fontId="48" fillId="14" borderId="40" xfId="0" applyFont="1" applyFill="1" applyBorder="1"/>
    <xf numFmtId="0" fontId="7" fillId="17" borderId="3" xfId="0" applyFont="1" applyFill="1" applyBorder="1"/>
    <xf numFmtId="0" fontId="7" fillId="17" borderId="1" xfId="0" applyFont="1" applyFill="1" applyBorder="1" applyAlignment="1">
      <alignment horizontal="center"/>
    </xf>
    <xf numFmtId="0" fontId="7" fillId="17" borderId="6" xfId="0" applyFont="1" applyFill="1" applyBorder="1" applyAlignment="1">
      <alignment vertical="center"/>
    </xf>
    <xf numFmtId="0" fontId="7" fillId="17" borderId="6" xfId="0" applyFont="1" applyFill="1" applyBorder="1" applyAlignment="1">
      <alignment horizontal="center"/>
    </xf>
    <xf numFmtId="0" fontId="7" fillId="17" borderId="1" xfId="0" applyFont="1" applyFill="1" applyBorder="1"/>
    <xf numFmtId="0" fontId="7" fillId="17" borderId="5" xfId="0" applyFont="1" applyFill="1" applyBorder="1" applyAlignment="1">
      <alignment horizontal="left" vertical="top"/>
    </xf>
    <xf numFmtId="0" fontId="7" fillId="17" borderId="40" xfId="0" applyFont="1" applyFill="1" applyBorder="1" applyAlignment="1">
      <alignment horizontal="left" vertical="top"/>
    </xf>
    <xf numFmtId="0" fontId="7" fillId="17" borderId="6" xfId="0" applyFont="1" applyFill="1" applyBorder="1" applyAlignment="1">
      <alignment horizontal="left" vertical="top" wrapText="1"/>
    </xf>
    <xf numFmtId="0" fontId="7" fillId="17" borderId="6" xfId="0" applyFont="1" applyFill="1" applyBorder="1" applyAlignment="1">
      <alignment horizontal="left" vertical="top"/>
    </xf>
    <xf numFmtId="0" fontId="7" fillId="17" borderId="66" xfId="0" applyFont="1" applyFill="1" applyBorder="1" applyAlignment="1">
      <alignment horizontal="left" vertical="top"/>
    </xf>
    <xf numFmtId="0" fontId="7" fillId="17" borderId="65" xfId="0" applyFont="1" applyFill="1" applyBorder="1" applyAlignment="1">
      <alignment horizontal="left" vertical="top"/>
    </xf>
    <xf numFmtId="0" fontId="7" fillId="17" borderId="64" xfId="0" applyFont="1" applyFill="1" applyBorder="1" applyAlignment="1">
      <alignment horizontal="left" vertical="top" wrapText="1"/>
    </xf>
    <xf numFmtId="0" fontId="7" fillId="17" borderId="64" xfId="0" applyFont="1" applyFill="1" applyBorder="1" applyAlignment="1">
      <alignment horizontal="left" vertical="top"/>
    </xf>
    <xf numFmtId="0" fontId="7" fillId="17" borderId="2" xfId="0" applyFont="1" applyFill="1" applyBorder="1" applyAlignment="1">
      <alignment horizontal="left" vertical="top"/>
    </xf>
    <xf numFmtId="0" fontId="7" fillId="17" borderId="36" xfId="0" applyFont="1" applyFill="1" applyBorder="1" applyAlignment="1">
      <alignment horizontal="left" vertical="top"/>
    </xf>
    <xf numFmtId="0" fontId="7" fillId="17" borderId="4" xfId="0" applyFont="1" applyFill="1" applyBorder="1" applyAlignment="1">
      <alignment horizontal="left" vertical="top" wrapText="1"/>
    </xf>
    <xf numFmtId="0" fontId="7" fillId="17" borderId="4" xfId="0" applyFont="1" applyFill="1" applyBorder="1" applyAlignment="1">
      <alignment horizontal="left" vertical="top"/>
    </xf>
    <xf numFmtId="0" fontId="7" fillId="17" borderId="7" xfId="0" applyFont="1" applyFill="1" applyBorder="1" applyAlignment="1">
      <alignment horizontal="center"/>
    </xf>
    <xf numFmtId="0" fontId="7" fillId="17" borderId="7" xfId="0" applyFont="1" applyFill="1" applyBorder="1"/>
    <xf numFmtId="0" fontId="17" fillId="0" borderId="3" xfId="0" applyFont="1" applyBorder="1" applyAlignment="1">
      <alignment horizontal="center"/>
    </xf>
    <xf numFmtId="167" fontId="12" fillId="18" borderId="7" xfId="0" applyNumberFormat="1" applyFont="1" applyFill="1" applyBorder="1" applyAlignment="1">
      <alignment horizontal="center"/>
    </xf>
    <xf numFmtId="167" fontId="12" fillId="18" borderId="1" xfId="0" applyNumberFormat="1" applyFont="1" applyFill="1" applyBorder="1" applyAlignment="1">
      <alignment horizontal="center"/>
    </xf>
    <xf numFmtId="167" fontId="12" fillId="18" borderId="20" xfId="0" applyNumberFormat="1" applyFont="1" applyFill="1" applyBorder="1" applyAlignment="1">
      <alignment horizontal="center"/>
    </xf>
    <xf numFmtId="167" fontId="12" fillId="18" borderId="16" xfId="0" applyNumberFormat="1" applyFont="1" applyFill="1" applyBorder="1" applyAlignment="1">
      <alignment horizontal="center"/>
    </xf>
    <xf numFmtId="167" fontId="12" fillId="18" borderId="3" xfId="0" applyNumberFormat="1" applyFont="1" applyFill="1" applyBorder="1" applyAlignment="1">
      <alignment horizontal="center"/>
    </xf>
    <xf numFmtId="167" fontId="12" fillId="18" borderId="40" xfId="0" applyNumberFormat="1" applyFont="1" applyFill="1" applyBorder="1" applyAlignment="1">
      <alignment horizontal="center"/>
    </xf>
    <xf numFmtId="167" fontId="12" fillId="18" borderId="6" xfId="0" applyNumberFormat="1" applyFont="1" applyFill="1" applyBorder="1" applyAlignment="1">
      <alignment horizontal="center"/>
    </xf>
    <xf numFmtId="167" fontId="12" fillId="18" borderId="5" xfId="0" applyNumberFormat="1" applyFont="1" applyFill="1" applyBorder="1" applyAlignment="1">
      <alignment horizontal="center"/>
    </xf>
    <xf numFmtId="167" fontId="12" fillId="18" borderId="33" xfId="0" applyNumberFormat="1" applyFont="1" applyFill="1" applyBorder="1" applyAlignment="1">
      <alignment horizontal="center"/>
    </xf>
    <xf numFmtId="167" fontId="12" fillId="18" borderId="21" xfId="0" applyNumberFormat="1" applyFont="1" applyFill="1" applyBorder="1" applyAlignment="1">
      <alignment horizontal="center"/>
    </xf>
    <xf numFmtId="167" fontId="5" fillId="18" borderId="33" xfId="0" applyNumberFormat="1" applyFont="1" applyFill="1" applyBorder="1" applyAlignment="1">
      <alignment horizontal="center"/>
    </xf>
    <xf numFmtId="167" fontId="5" fillId="18" borderId="40" xfId="0" applyNumberFormat="1" applyFont="1" applyFill="1" applyBorder="1" applyAlignment="1">
      <alignment horizontal="center"/>
    </xf>
    <xf numFmtId="167" fontId="8" fillId="18" borderId="40" xfId="0" applyNumberFormat="1" applyFont="1" applyFill="1" applyBorder="1" applyAlignment="1">
      <alignment horizontal="center"/>
    </xf>
    <xf numFmtId="167" fontId="12" fillId="18" borderId="36" xfId="0" applyNumberFormat="1" applyFont="1" applyFill="1" applyBorder="1" applyAlignment="1">
      <alignment horizontal="center"/>
    </xf>
    <xf numFmtId="167" fontId="5" fillId="18" borderId="36" xfId="0" applyNumberFormat="1" applyFont="1" applyFill="1" applyBorder="1" applyAlignment="1">
      <alignment horizontal="center"/>
    </xf>
    <xf numFmtId="164" fontId="5" fillId="18" borderId="36" xfId="0" applyNumberFormat="1" applyFont="1" applyFill="1" applyBorder="1" applyAlignment="1">
      <alignment horizontal="center"/>
    </xf>
    <xf numFmtId="169" fontId="5" fillId="13" borderId="8" xfId="0" applyNumberFormat="1" applyFont="1" applyFill="1" applyBorder="1" applyAlignment="1">
      <alignment horizontal="center" vertical="center"/>
    </xf>
    <xf numFmtId="2" fontId="5" fillId="12" borderId="8" xfId="0" applyNumberFormat="1" applyFont="1" applyFill="1" applyBorder="1" applyAlignment="1">
      <alignment horizontal="center" vertical="center"/>
    </xf>
    <xf numFmtId="2" fontId="12" fillId="0" borderId="1" xfId="0" applyNumberFormat="1" applyFont="1" applyBorder="1" applyAlignment="1">
      <alignment horizontal="center"/>
    </xf>
    <xf numFmtId="0" fontId="0" fillId="0" borderId="50" xfId="0" applyBorder="1"/>
    <xf numFmtId="0" fontId="0" fillId="0" borderId="36" xfId="0" applyBorder="1"/>
    <xf numFmtId="0" fontId="3" fillId="0" borderId="72" xfId="0" applyFont="1" applyBorder="1" applyAlignment="1">
      <alignment horizontal="center"/>
    </xf>
    <xf numFmtId="169" fontId="12" fillId="13" borderId="9" xfId="0" applyNumberFormat="1" applyFont="1" applyFill="1" applyBorder="1" applyAlignment="1">
      <alignment horizontal="center" vertical="center"/>
    </xf>
    <xf numFmtId="0" fontId="12" fillId="0" borderId="1" xfId="0" applyFont="1" applyBorder="1" applyAlignment="1">
      <alignment horizontal="left"/>
    </xf>
    <xf numFmtId="165" fontId="12" fillId="0" borderId="1" xfId="0" applyNumberFormat="1" applyFont="1" applyBorder="1" applyAlignment="1">
      <alignment horizontal="center" vertical="center"/>
    </xf>
    <xf numFmtId="0" fontId="60" fillId="0" borderId="50" xfId="0" applyFont="1" applyBorder="1" applyAlignment="1">
      <alignment horizontal="left" vertical="top" wrapText="1"/>
    </xf>
    <xf numFmtId="0" fontId="60" fillId="0" borderId="50" xfId="0" applyFont="1" applyBorder="1" applyAlignment="1">
      <alignment horizontal="right" vertical="top" wrapText="1"/>
    </xf>
    <xf numFmtId="0" fontId="81" fillId="0" borderId="1" xfId="0" applyFont="1" applyBorder="1"/>
    <xf numFmtId="0" fontId="3" fillId="0" borderId="11" xfId="0" applyFont="1" applyBorder="1" applyAlignment="1">
      <alignment horizontal="center" vertical="center"/>
    </xf>
    <xf numFmtId="0" fontId="3" fillId="0" borderId="29" xfId="0" applyFont="1" applyBorder="1" applyAlignment="1">
      <alignment horizontal="center" vertical="center"/>
    </xf>
    <xf numFmtId="0" fontId="3" fillId="0" borderId="12" xfId="0" applyFont="1" applyBorder="1" applyAlignment="1">
      <alignment horizontal="center" vertical="center"/>
    </xf>
    <xf numFmtId="0" fontId="81" fillId="0" borderId="0" xfId="0" applyFont="1"/>
    <xf numFmtId="0" fontId="81" fillId="0" borderId="7" xfId="0" applyFont="1" applyBorder="1"/>
    <xf numFmtId="0" fontId="81" fillId="0" borderId="1" xfId="0" applyFont="1" applyBorder="1" applyAlignment="1">
      <alignment horizontal="left"/>
    </xf>
    <xf numFmtId="167" fontId="3" fillId="8" borderId="35" xfId="0" applyNumberFormat="1" applyFont="1" applyFill="1" applyBorder="1" applyAlignment="1">
      <alignment horizontal="center"/>
    </xf>
    <xf numFmtId="0" fontId="83" fillId="0" borderId="0" xfId="0" applyFont="1"/>
    <xf numFmtId="0" fontId="15" fillId="0" borderId="5" xfId="0" applyFont="1" applyBorder="1"/>
    <xf numFmtId="0" fontId="0" fillId="0" borderId="52" xfId="0" applyBorder="1"/>
    <xf numFmtId="0" fontId="0" fillId="0" borderId="40" xfId="0" applyBorder="1"/>
    <xf numFmtId="0" fontId="84" fillId="0" borderId="0" xfId="0" applyFont="1"/>
    <xf numFmtId="0" fontId="85" fillId="0" borderId="0" xfId="0" applyFont="1" applyAlignment="1">
      <alignment vertical="top" wrapText="1"/>
    </xf>
    <xf numFmtId="164" fontId="60" fillId="0" borderId="28" xfId="0" applyNumberFormat="1" applyFont="1" applyBorder="1" applyAlignment="1">
      <alignment horizontal="right" vertical="top" wrapText="1"/>
    </xf>
    <xf numFmtId="0" fontId="17" fillId="0" borderId="72" xfId="0" applyFont="1" applyBorder="1" applyAlignment="1">
      <alignment horizontal="center"/>
    </xf>
    <xf numFmtId="0" fontId="3" fillId="0" borderId="34" xfId="0" applyFont="1" applyBorder="1" applyAlignment="1">
      <alignment horizontal="center"/>
    </xf>
    <xf numFmtId="167" fontId="3" fillId="8" borderId="12" xfId="0" applyNumberFormat="1" applyFont="1" applyFill="1" applyBorder="1" applyAlignment="1">
      <alignment horizontal="center"/>
    </xf>
    <xf numFmtId="0" fontId="3" fillId="0" borderId="11" xfId="0" applyFont="1" applyBorder="1" applyAlignment="1">
      <alignment horizontal="center" vertical="top"/>
    </xf>
    <xf numFmtId="0" fontId="3" fillId="0" borderId="12" xfId="0" applyFont="1" applyBorder="1" applyAlignment="1">
      <alignment horizontal="center" vertical="top"/>
    </xf>
    <xf numFmtId="0" fontId="17" fillId="0" borderId="48" xfId="0" applyFont="1" applyBorder="1" applyAlignment="1">
      <alignment horizontal="center"/>
    </xf>
    <xf numFmtId="167" fontId="3" fillId="9" borderId="10" xfId="0" applyNumberFormat="1" applyFont="1" applyFill="1" applyBorder="1" applyAlignment="1">
      <alignment horizontal="center"/>
    </xf>
    <xf numFmtId="0" fontId="3" fillId="0" borderId="44" xfId="0" applyFont="1" applyBorder="1" applyAlignment="1">
      <alignment horizontal="center"/>
    </xf>
    <xf numFmtId="167" fontId="3" fillId="8" borderId="9" xfId="0" applyNumberFormat="1" applyFont="1" applyFill="1" applyBorder="1" applyAlignment="1">
      <alignment horizontal="center"/>
    </xf>
    <xf numFmtId="167" fontId="3" fillId="8" borderId="42" xfId="0" applyNumberFormat="1" applyFont="1" applyFill="1" applyBorder="1" applyAlignment="1">
      <alignment horizontal="center"/>
    </xf>
    <xf numFmtId="0" fontId="0" fillId="0" borderId="9" xfId="0" applyBorder="1" applyAlignment="1">
      <alignment horizontal="center"/>
    </xf>
    <xf numFmtId="0" fontId="84" fillId="0" borderId="11" xfId="0" applyFont="1" applyBorder="1" applyAlignment="1">
      <alignment horizontal="center"/>
    </xf>
    <xf numFmtId="0" fontId="84" fillId="0" borderId="9" xfId="0" applyFont="1" applyBorder="1" applyAlignment="1">
      <alignment horizontal="center"/>
    </xf>
    <xf numFmtId="4" fontId="5" fillId="8" borderId="68" xfId="0" applyNumberFormat="1" applyFont="1" applyFill="1" applyBorder="1" applyAlignment="1">
      <alignment horizontal="center"/>
    </xf>
    <xf numFmtId="2" fontId="7" fillId="9" borderId="32" xfId="0" applyNumberFormat="1" applyFont="1" applyFill="1" applyBorder="1" applyAlignment="1">
      <alignment horizontal="center" vertical="center"/>
    </xf>
    <xf numFmtId="2" fontId="5" fillId="0" borderId="1" xfId="0" applyNumberFormat="1" applyFont="1" applyBorder="1" applyAlignment="1">
      <alignment horizontal="center"/>
    </xf>
    <xf numFmtId="0" fontId="16" fillId="16" borderId="3" xfId="1" applyFill="1" applyBorder="1" applyAlignment="1">
      <alignment horizontal="left" vertical="top" wrapText="1"/>
    </xf>
    <xf numFmtId="0" fontId="16" fillId="16" borderId="28" xfId="1" applyFill="1" applyBorder="1" applyAlignment="1">
      <alignment horizontal="left" vertical="top" wrapText="1"/>
    </xf>
    <xf numFmtId="0" fontId="16" fillId="16" borderId="7" xfId="1" applyFill="1" applyBorder="1" applyAlignment="1">
      <alignment horizontal="left" vertical="top" wrapText="1"/>
    </xf>
    <xf numFmtId="0" fontId="44" fillId="14" borderId="66" xfId="0" applyFont="1" applyFill="1" applyBorder="1" applyAlignment="1">
      <alignment horizontal="left"/>
    </xf>
    <xf numFmtId="0" fontId="44" fillId="14" borderId="0" xfId="0" applyFont="1" applyFill="1" applyAlignment="1">
      <alignment horizontal="left"/>
    </xf>
    <xf numFmtId="0" fontId="16" fillId="0" borderId="3" xfId="1" applyBorder="1" applyAlignment="1">
      <alignment horizontal="left" vertical="top" wrapText="1"/>
    </xf>
    <xf numFmtId="0" fontId="16" fillId="0" borderId="28" xfId="1" applyBorder="1" applyAlignment="1">
      <alignment horizontal="left" vertical="top" wrapText="1"/>
    </xf>
    <xf numFmtId="0" fontId="16" fillId="0" borderId="7" xfId="1" applyBorder="1" applyAlignment="1">
      <alignment horizontal="left" vertical="top" wrapText="1"/>
    </xf>
    <xf numFmtId="0" fontId="0" fillId="0" borderId="3" xfId="0" applyBorder="1" applyAlignment="1">
      <alignment horizontal="left" vertical="top" wrapText="1"/>
    </xf>
    <xf numFmtId="0" fontId="0" fillId="0" borderId="28" xfId="0" applyBorder="1" applyAlignment="1">
      <alignment horizontal="left" vertical="top" wrapText="1"/>
    </xf>
    <xf numFmtId="0" fontId="0" fillId="0" borderId="7" xfId="0" applyBorder="1" applyAlignment="1">
      <alignment horizontal="left" vertical="top" wrapText="1"/>
    </xf>
    <xf numFmtId="0" fontId="18" fillId="15" borderId="3" xfId="0" applyFont="1" applyFill="1" applyBorder="1" applyAlignment="1">
      <alignment horizontal="left" vertical="top" wrapText="1"/>
    </xf>
    <xf numFmtId="0" fontId="18" fillId="15" borderId="28" xfId="0" applyFont="1" applyFill="1" applyBorder="1" applyAlignment="1">
      <alignment horizontal="left" vertical="top" wrapText="1"/>
    </xf>
    <xf numFmtId="0" fontId="18" fillId="15" borderId="7" xfId="0" applyFont="1" applyFill="1" applyBorder="1" applyAlignment="1">
      <alignment horizontal="left" vertical="top" wrapText="1"/>
    </xf>
    <xf numFmtId="0" fontId="60" fillId="0" borderId="3" xfId="0" applyFont="1" applyBorder="1" applyAlignment="1">
      <alignment horizontal="left" vertical="top" wrapText="1"/>
    </xf>
    <xf numFmtId="0" fontId="61" fillId="0" borderId="28" xfId="0" applyFont="1" applyBorder="1" applyAlignment="1">
      <alignment horizontal="left" vertical="top" wrapText="1"/>
    </xf>
    <xf numFmtId="0" fontId="61" fillId="0" borderId="7" xfId="0" applyFont="1" applyBorder="1" applyAlignment="1">
      <alignment horizontal="left" vertical="top" wrapText="1"/>
    </xf>
    <xf numFmtId="0" fontId="17" fillId="0" borderId="6" xfId="0" applyFont="1" applyBorder="1" applyAlignment="1">
      <alignment horizontal="center" vertical="center"/>
    </xf>
    <xf numFmtId="0" fontId="17" fillId="0" borderId="4"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12" fillId="0" borderId="14" xfId="0" applyFont="1" applyBorder="1" applyAlignment="1">
      <alignment horizontal="center" vertical="center"/>
    </xf>
    <xf numFmtId="0" fontId="12" fillId="0" borderId="6" xfId="0" applyFont="1" applyBorder="1" applyAlignment="1">
      <alignment horizontal="center" vertical="center"/>
    </xf>
    <xf numFmtId="0" fontId="60" fillId="0" borderId="28" xfId="0" applyFont="1" applyBorder="1" applyAlignment="1">
      <alignment horizontal="left" vertical="top" wrapText="1"/>
    </xf>
    <xf numFmtId="0" fontId="60" fillId="0" borderId="7" xfId="0" applyFont="1" applyBorder="1" applyAlignment="1">
      <alignment horizontal="left" vertical="top" wrapText="1"/>
    </xf>
    <xf numFmtId="0" fontId="12" fillId="0" borderId="45" xfId="0" applyFont="1" applyBorder="1" applyAlignment="1">
      <alignment horizontal="center" vertical="center"/>
    </xf>
    <xf numFmtId="0" fontId="12" fillId="0" borderId="40" xfId="0" applyFont="1" applyBorder="1" applyAlignment="1">
      <alignment horizontal="center" vertical="center"/>
    </xf>
    <xf numFmtId="0" fontId="2" fillId="0" borderId="8" xfId="0" applyFont="1" applyBorder="1" applyAlignment="1">
      <alignment horizontal="center" vertical="center"/>
    </xf>
    <xf numFmtId="0" fontId="2" fillId="0" borderId="42" xfId="0" applyFont="1" applyBorder="1" applyAlignment="1">
      <alignment horizontal="center" vertical="center"/>
    </xf>
    <xf numFmtId="0" fontId="12" fillId="0" borderId="30" xfId="0" applyFont="1" applyBorder="1" applyAlignment="1">
      <alignment horizontal="center" vertical="center"/>
    </xf>
    <xf numFmtId="0" fontId="12" fillId="0" borderId="5" xfId="0" applyFont="1" applyBorder="1" applyAlignment="1">
      <alignment horizontal="center" vertical="center"/>
    </xf>
    <xf numFmtId="0" fontId="7" fillId="0" borderId="71" xfId="0" applyFont="1" applyBorder="1" applyAlignment="1">
      <alignment horizontal="center"/>
    </xf>
    <xf numFmtId="0" fontId="7" fillId="0" borderId="49" xfId="0" applyFont="1" applyBorder="1" applyAlignment="1">
      <alignment horizontal="center"/>
    </xf>
    <xf numFmtId="0" fontId="23" fillId="0" borderId="0" xfId="0" applyFont="1" applyAlignment="1">
      <alignment horizontal="left" wrapText="1"/>
    </xf>
    <xf numFmtId="0" fontId="7" fillId="0" borderId="34" xfId="0" applyFont="1" applyBorder="1" applyAlignment="1">
      <alignment horizontal="center" vertical="center"/>
    </xf>
    <xf numFmtId="0" fontId="7" fillId="0" borderId="70" xfId="0" applyFont="1" applyBorder="1" applyAlignment="1">
      <alignment horizontal="center" vertical="center"/>
    </xf>
    <xf numFmtId="0" fontId="17" fillId="0" borderId="8" xfId="0" applyFont="1" applyBorder="1" applyAlignment="1">
      <alignment horizontal="center" vertical="center"/>
    </xf>
    <xf numFmtId="0" fontId="17" fillId="0" borderId="10" xfId="0" applyFont="1" applyBorder="1" applyAlignment="1">
      <alignment horizontal="center" vertical="center"/>
    </xf>
    <xf numFmtId="0" fontId="17" fillId="0" borderId="42" xfId="0" applyFont="1" applyBorder="1" applyAlignment="1">
      <alignment horizontal="center" vertical="center"/>
    </xf>
    <xf numFmtId="0" fontId="3" fillId="0" borderId="11" xfId="0" applyFont="1" applyBorder="1" applyAlignment="1">
      <alignment horizontal="center" vertical="center"/>
    </xf>
    <xf numFmtId="0" fontId="3" fillId="0" borderId="29" xfId="0" applyFont="1" applyBorder="1" applyAlignment="1">
      <alignment horizontal="center" vertical="center"/>
    </xf>
    <xf numFmtId="0" fontId="5" fillId="0" borderId="23" xfId="0" applyFont="1" applyBorder="1" applyAlignment="1">
      <alignment horizontal="center" vertical="center"/>
    </xf>
    <xf numFmtId="0" fontId="5" fillId="0" borderId="74" xfId="0" applyFont="1" applyBorder="1" applyAlignment="1">
      <alignment horizontal="center" vertical="center"/>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64" xfId="0" applyFont="1" applyBorder="1" applyAlignment="1">
      <alignment horizontal="center" vertical="center"/>
    </xf>
    <xf numFmtId="0" fontId="5" fillId="0" borderId="24"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29" xfId="0" applyFont="1" applyBorder="1" applyAlignment="1">
      <alignment horizontal="center" vertical="center"/>
    </xf>
    <xf numFmtId="0" fontId="2" fillId="0" borderId="2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25" xfId="0" applyFont="1" applyBorder="1" applyAlignment="1">
      <alignment horizontal="center" vertical="center" wrapText="1"/>
    </xf>
    <xf numFmtId="0" fontId="7" fillId="0" borderId="79" xfId="0" applyFont="1" applyBorder="1" applyAlignment="1">
      <alignment horizontal="center"/>
    </xf>
    <xf numFmtId="0" fontId="2" fillId="0" borderId="76" xfId="0" applyFont="1" applyBorder="1" applyAlignment="1">
      <alignment horizontal="center" vertical="center" wrapText="1"/>
    </xf>
    <xf numFmtId="0" fontId="2" fillId="0" borderId="75"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81" xfId="0" applyFont="1" applyBorder="1" applyAlignment="1">
      <alignment horizontal="center" vertical="center" wrapText="1"/>
    </xf>
    <xf numFmtId="0" fontId="5" fillId="0" borderId="76" xfId="0" applyFont="1" applyBorder="1" applyAlignment="1">
      <alignment horizontal="center" vertical="center"/>
    </xf>
    <xf numFmtId="0" fontId="5" fillId="0" borderId="75" xfId="0" applyFont="1" applyBorder="1" applyAlignment="1">
      <alignment horizontal="center" vertical="center"/>
    </xf>
    <xf numFmtId="0" fontId="5" fillId="0" borderId="15"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9" xfId="0" applyFont="1" applyBorder="1" applyAlignment="1">
      <alignment horizontal="center" vertical="center"/>
    </xf>
    <xf numFmtId="0" fontId="23" fillId="0" borderId="50" xfId="0" applyFont="1" applyBorder="1" applyAlignment="1">
      <alignment horizontal="left"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2" fillId="0" borderId="10" xfId="0" applyFont="1" applyBorder="1" applyAlignment="1">
      <alignment horizontal="center" vertical="center"/>
    </xf>
    <xf numFmtId="0" fontId="7" fillId="0" borderId="38" xfId="0" applyFont="1" applyBorder="1" applyAlignment="1">
      <alignment horizontal="center" vertical="center"/>
    </xf>
    <xf numFmtId="17" fontId="5" fillId="0" borderId="55" xfId="0" applyNumberFormat="1" applyFont="1" applyBorder="1" applyAlignment="1">
      <alignment horizontal="center" vertical="center"/>
    </xf>
    <xf numFmtId="0" fontId="5" fillId="0" borderId="27" xfId="0" applyFont="1" applyBorder="1" applyAlignment="1">
      <alignment horizontal="center" vertical="center"/>
    </xf>
    <xf numFmtId="0" fontId="60" fillId="0" borderId="66" xfId="0" applyFont="1" applyBorder="1" applyAlignment="1">
      <alignment horizontal="left" vertical="top" wrapText="1"/>
    </xf>
    <xf numFmtId="0" fontId="60" fillId="0" borderId="0" xfId="0" applyFont="1" applyAlignment="1">
      <alignment horizontal="left" vertical="top" wrapText="1"/>
    </xf>
    <xf numFmtId="0" fontId="60" fillId="0" borderId="65" xfId="0" applyFont="1" applyBorder="1" applyAlignment="1">
      <alignment horizontal="left" vertical="top" wrapText="1"/>
    </xf>
    <xf numFmtId="0" fontId="60" fillId="0" borderId="2" xfId="0" applyFont="1" applyBorder="1" applyAlignment="1">
      <alignment horizontal="left" vertical="top" wrapText="1"/>
    </xf>
    <xf numFmtId="0" fontId="60" fillId="0" borderId="50" xfId="0" applyFont="1" applyBorder="1" applyAlignment="1">
      <alignment horizontal="left" vertical="top" wrapText="1"/>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15" fillId="0" borderId="5" xfId="0" applyFont="1" applyBorder="1" applyAlignment="1">
      <alignment horizontal="left" vertical="top" wrapText="1"/>
    </xf>
    <xf numFmtId="0" fontId="15" fillId="0" borderId="52" xfId="0" applyFont="1" applyBorder="1" applyAlignment="1">
      <alignment horizontal="left" vertical="top" wrapText="1"/>
    </xf>
    <xf numFmtId="0" fontId="15" fillId="0" borderId="40" xfId="0" applyFont="1" applyBorder="1" applyAlignment="1">
      <alignment horizontal="left" vertical="top" wrapText="1"/>
    </xf>
    <xf numFmtId="0" fontId="60" fillId="0" borderId="2" xfId="0" applyFont="1" applyBorder="1" applyAlignment="1">
      <alignment vertical="top" wrapText="1"/>
    </xf>
    <xf numFmtId="0" fontId="60" fillId="0" borderId="50" xfId="0" applyFont="1" applyBorder="1" applyAlignment="1">
      <alignment vertical="top" wrapText="1"/>
    </xf>
    <xf numFmtId="0" fontId="60" fillId="0" borderId="36" xfId="0" applyFont="1" applyBorder="1" applyAlignment="1">
      <alignment vertical="top" wrapText="1"/>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17" fillId="0" borderId="11" xfId="0" applyFont="1" applyBorder="1" applyAlignment="1">
      <alignment horizontal="center" vertical="center"/>
    </xf>
    <xf numFmtId="0" fontId="17" fillId="0" borderId="29" xfId="0" applyFont="1" applyBorder="1" applyAlignment="1">
      <alignment horizontal="center" vertical="center"/>
    </xf>
    <xf numFmtId="167" fontId="7" fillId="0" borderId="11" xfId="0" applyNumberFormat="1" applyFont="1" applyBorder="1" applyAlignment="1">
      <alignment horizontal="center" vertical="center" wrapText="1"/>
    </xf>
    <xf numFmtId="167" fontId="7" fillId="0" borderId="29" xfId="0" applyNumberFormat="1" applyFont="1" applyBorder="1" applyAlignment="1">
      <alignment horizontal="center" vertical="center" wrapText="1"/>
    </xf>
    <xf numFmtId="0" fontId="7" fillId="0" borderId="29" xfId="0" applyFont="1" applyBorder="1" applyAlignment="1">
      <alignment horizontal="center" vertical="center" wrapText="1"/>
    </xf>
    <xf numFmtId="167" fontId="7" fillId="0" borderId="38" xfId="0" applyNumberFormat="1" applyFont="1" applyBorder="1" applyAlignment="1">
      <alignment horizontal="center" vertical="center" wrapText="1"/>
    </xf>
    <xf numFmtId="167" fontId="7" fillId="0" borderId="34" xfId="0" applyNumberFormat="1" applyFont="1" applyBorder="1" applyAlignment="1">
      <alignment horizontal="center" vertical="center" wrapText="1"/>
    </xf>
    <xf numFmtId="167" fontId="7" fillId="0" borderId="37" xfId="0" applyNumberFormat="1"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29" xfId="0" applyFont="1" applyBorder="1" applyAlignment="1">
      <alignment horizontal="center" vertical="center" wrapText="1"/>
    </xf>
    <xf numFmtId="0" fontId="60" fillId="0" borderId="3" xfId="1" applyFont="1" applyBorder="1" applyAlignment="1">
      <alignment horizontal="left" vertical="top" wrapText="1"/>
    </xf>
    <xf numFmtId="0" fontId="62" fillId="0" borderId="28" xfId="1" applyFont="1" applyBorder="1" applyAlignment="1">
      <alignment horizontal="left" vertical="top" wrapText="1"/>
    </xf>
    <xf numFmtId="0" fontId="62" fillId="0" borderId="7" xfId="1" applyFont="1" applyBorder="1" applyAlignment="1">
      <alignment horizontal="left" vertical="top" wrapText="1"/>
    </xf>
    <xf numFmtId="4" fontId="7" fillId="9" borderId="71" xfId="0" applyNumberFormat="1" applyFont="1" applyFill="1" applyBorder="1" applyAlignment="1">
      <alignment horizontal="center" vertical="center"/>
    </xf>
    <xf numFmtId="4" fontId="7" fillId="9" borderId="49" xfId="0" applyNumberFormat="1" applyFont="1" applyFill="1" applyBorder="1" applyAlignment="1">
      <alignment horizontal="center" vertical="center"/>
    </xf>
    <xf numFmtId="167" fontId="7" fillId="0" borderId="12" xfId="0" applyNumberFormat="1" applyFont="1" applyBorder="1" applyAlignment="1">
      <alignment horizontal="center" vertical="center" wrapText="1"/>
    </xf>
    <xf numFmtId="4" fontId="7" fillId="0" borderId="11"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0" fontId="7" fillId="0" borderId="8"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83" xfId="0" applyFont="1" applyBorder="1" applyAlignment="1">
      <alignment horizontal="center" vertical="center" wrapText="1"/>
    </xf>
    <xf numFmtId="0" fontId="7" fillId="0" borderId="19" xfId="0" applyFont="1" applyBorder="1" applyAlignment="1">
      <alignment horizontal="center" vertical="center" wrapText="1"/>
    </xf>
    <xf numFmtId="0" fontId="60" fillId="0" borderId="5" xfId="0" applyFont="1" applyBorder="1" applyAlignment="1">
      <alignment horizontal="left" vertical="top" wrapText="1"/>
    </xf>
    <xf numFmtId="0" fontId="60" fillId="0" borderId="52" xfId="0" applyFont="1" applyBorder="1" applyAlignment="1">
      <alignment horizontal="left" vertical="top" wrapText="1"/>
    </xf>
    <xf numFmtId="0" fontId="60" fillId="0" borderId="40" xfId="0" applyFont="1" applyBorder="1" applyAlignment="1">
      <alignment horizontal="left" vertical="top" wrapText="1"/>
    </xf>
    <xf numFmtId="0" fontId="60" fillId="0" borderId="36" xfId="0" applyFont="1" applyBorder="1" applyAlignment="1">
      <alignment horizontal="left" vertical="top"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31" xfId="0" applyFont="1" applyBorder="1" applyAlignment="1">
      <alignment horizontal="center" vertical="center" wrapText="1"/>
    </xf>
    <xf numFmtId="167" fontId="7" fillId="0" borderId="17" xfId="0" applyNumberFormat="1" applyFont="1" applyBorder="1" applyAlignment="1">
      <alignment horizontal="center" vertical="center" wrapText="1"/>
    </xf>
    <xf numFmtId="167" fontId="7" fillId="0" borderId="67" xfId="0" applyNumberFormat="1" applyFont="1" applyBorder="1" applyAlignment="1">
      <alignment horizontal="center" vertical="center" wrapText="1"/>
    </xf>
    <xf numFmtId="167" fontId="7" fillId="0" borderId="31" xfId="0" applyNumberFormat="1" applyFont="1" applyBorder="1" applyAlignment="1">
      <alignment horizontal="center" vertical="center" wrapText="1"/>
    </xf>
    <xf numFmtId="0" fontId="62" fillId="0" borderId="3" xfId="1" applyFont="1" applyBorder="1" applyAlignment="1">
      <alignment horizontal="left" vertical="top" wrapText="1"/>
    </xf>
    <xf numFmtId="0" fontId="0" fillId="0" borderId="0" xfId="0" applyAlignment="1">
      <alignment horizontal="center"/>
    </xf>
    <xf numFmtId="0" fontId="0" fillId="0" borderId="62" xfId="0" applyBorder="1" applyAlignment="1">
      <alignment horizontal="center"/>
    </xf>
  </cellXfs>
  <cellStyles count="7">
    <cellStyle name="Even" xfId="2" xr:uid="{A70C19A1-C3EF-4786-85ED-3DAE9F341753}"/>
    <cellStyle name="Hüperlink" xfId="1" builtinId="8"/>
    <cellStyle name="Mudeli alamleht" xfId="6" xr:uid="{45716488-2E3E-4358-988C-6C449AE54B96}"/>
    <cellStyle name="Normaallaad" xfId="0" builtinId="0"/>
    <cellStyle name="Odd" xfId="3" xr:uid="{8A56CE27-123F-4CDC-B024-A75357C84734}"/>
    <cellStyle name="Protsent" xfId="5" builtinId="5"/>
    <cellStyle name="Selection" xfId="4" xr:uid="{C62767D0-0C49-4B22-8131-CA9A30B153B2}"/>
  </cellStyles>
  <dxfs count="2">
    <dxf>
      <fill>
        <patternFill>
          <bgColor rgb="FFCCFF99"/>
        </patternFill>
      </fill>
    </dxf>
    <dxf>
      <fill>
        <patternFill>
          <bgColor rgb="FFFFFF99"/>
        </patternFill>
      </fill>
    </dxf>
  </dxfs>
  <tableStyles count="0" defaultTableStyle="TableStyleMedium9" defaultPivotStyle="PivotStyleLight16"/>
  <colors>
    <mruColors>
      <color rgb="FFFEFE33"/>
      <color rgb="FF559E54"/>
      <color rgb="FF98CA32"/>
      <color rgb="FFE4F132"/>
      <color rgb="FFF7E7D4"/>
      <color rgb="FFFB8604"/>
      <color rgb="FFFCBA12"/>
      <color rgb="FF0A3409"/>
      <color rgb="FFB2D732"/>
      <color rgb="FFFCCB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n-US" sz="1050" b="1"/>
              <a:t>202</a:t>
            </a:r>
            <a:r>
              <a:rPr lang="et-EE" sz="1050" b="1"/>
              <a:t>4</a:t>
            </a:r>
            <a:endParaRPr lang="en-US" sz="1050" b="1"/>
          </a:p>
        </c:rich>
      </c:tx>
      <c:overlay val="0"/>
      <c:spPr>
        <a:noFill/>
        <a:ln>
          <a:noFill/>
        </a:ln>
        <a:effectLst/>
      </c:spPr>
    </c:title>
    <c:autoTitleDeleted val="0"/>
    <c:plotArea>
      <c:layout/>
      <c:lineChart>
        <c:grouping val="standard"/>
        <c:varyColors val="0"/>
        <c:ser>
          <c:idx val="0"/>
          <c:order val="0"/>
          <c:tx>
            <c:strRef>
              <c:f>ELEKTER!$C$25</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ELEKTER!$D$25:$O$25</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CB5C-47AA-80EA-1E815F7DD22F}"/>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SOOJUS!$B$19</c:f>
          <c:strCache>
            <c:ptCount val="1"/>
            <c:pt idx="0">
              <c:v>2024</c:v>
            </c:pt>
          </c:strCache>
        </c:strRef>
      </c:tx>
      <c:overlay val="0"/>
      <c:txPr>
        <a:bodyPr/>
        <a:lstStyle/>
        <a:p>
          <a:pPr>
            <a:defRPr sz="1000"/>
          </a:pPr>
          <a:endParaRPr lang="et-EE"/>
        </a:p>
      </c:txPr>
    </c:title>
    <c:autoTitleDeleted val="0"/>
    <c:plotArea>
      <c:layout/>
      <c:lineChart>
        <c:grouping val="standard"/>
        <c:varyColors val="0"/>
        <c:ser>
          <c:idx val="1"/>
          <c:order val="0"/>
          <c:tx>
            <c:strRef>
              <c:f>SOOJUS!$C$19</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SOOJUS!$D$19:$O$19</c:f>
              <c:numCache>
                <c:formatCode>#\ ##0.0</c:formatCode>
                <c:ptCount val="12"/>
              </c:numCache>
            </c:numRef>
          </c:val>
          <c:smooth val="0"/>
          <c:extLst>
            <c:ext xmlns:c16="http://schemas.microsoft.com/office/drawing/2014/chart" uri="{C3380CC4-5D6E-409C-BE32-E72D297353CC}">
              <c16:uniqueId val="{00000000-0FE2-4DD1-82E5-513D274D120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SOOJUS!$B$21</c:f>
          <c:strCache>
            <c:ptCount val="1"/>
            <c:pt idx="0">
              <c:v>2025</c:v>
            </c:pt>
          </c:strCache>
        </c:strRef>
      </c:tx>
      <c:overlay val="0"/>
      <c:txPr>
        <a:bodyPr/>
        <a:lstStyle/>
        <a:p>
          <a:pPr>
            <a:defRPr sz="1000"/>
          </a:pPr>
          <a:endParaRPr lang="et-EE"/>
        </a:p>
      </c:txPr>
    </c:title>
    <c:autoTitleDeleted val="0"/>
    <c:plotArea>
      <c:layout/>
      <c:lineChart>
        <c:grouping val="standard"/>
        <c:varyColors val="0"/>
        <c:ser>
          <c:idx val="1"/>
          <c:order val="0"/>
          <c:tx>
            <c:strRef>
              <c:f>SOOJUS!$C$21</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SOOJUS!$D$21:$O$21</c:f>
              <c:numCache>
                <c:formatCode>#\ ##0.0</c:formatCode>
                <c:ptCount val="12"/>
              </c:numCache>
            </c:numRef>
          </c:val>
          <c:smooth val="0"/>
          <c:extLst>
            <c:ext xmlns:c16="http://schemas.microsoft.com/office/drawing/2014/chart" uri="{C3380CC4-5D6E-409C-BE32-E72D297353CC}">
              <c16:uniqueId val="{00000000-809D-4191-98DE-F779DBCB7183}"/>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SOOJUS!$B$23</c:f>
          <c:strCache>
            <c:ptCount val="1"/>
            <c:pt idx="0">
              <c:v>2026</c:v>
            </c:pt>
          </c:strCache>
        </c:strRef>
      </c:tx>
      <c:overlay val="0"/>
      <c:txPr>
        <a:bodyPr/>
        <a:lstStyle/>
        <a:p>
          <a:pPr>
            <a:defRPr sz="1000"/>
          </a:pPr>
          <a:endParaRPr lang="et-EE"/>
        </a:p>
      </c:txPr>
    </c:title>
    <c:autoTitleDeleted val="0"/>
    <c:plotArea>
      <c:layout/>
      <c:lineChart>
        <c:grouping val="standard"/>
        <c:varyColors val="0"/>
        <c:ser>
          <c:idx val="1"/>
          <c:order val="0"/>
          <c:tx>
            <c:strRef>
              <c:f>SOOJUS!$C$23</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SOOJUS!$D$23:$O$23</c:f>
              <c:numCache>
                <c:formatCode>#\ ##0.0</c:formatCode>
                <c:ptCount val="12"/>
              </c:numCache>
            </c:numRef>
          </c:val>
          <c:smooth val="0"/>
          <c:extLst>
            <c:ext xmlns:c16="http://schemas.microsoft.com/office/drawing/2014/chart" uri="{C3380CC4-5D6E-409C-BE32-E72D297353CC}">
              <c16:uniqueId val="{00000000-91FE-4B32-8D55-2CC3B048839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SOOJUS!$B$25</c:f>
          <c:strCache>
            <c:ptCount val="1"/>
            <c:pt idx="0">
              <c:v>2027</c:v>
            </c:pt>
          </c:strCache>
        </c:strRef>
      </c:tx>
      <c:overlay val="0"/>
      <c:txPr>
        <a:bodyPr/>
        <a:lstStyle/>
        <a:p>
          <a:pPr>
            <a:defRPr sz="1000"/>
          </a:pPr>
          <a:endParaRPr lang="et-EE"/>
        </a:p>
      </c:txPr>
    </c:title>
    <c:autoTitleDeleted val="0"/>
    <c:plotArea>
      <c:layout/>
      <c:lineChart>
        <c:grouping val="standard"/>
        <c:varyColors val="0"/>
        <c:ser>
          <c:idx val="1"/>
          <c:order val="0"/>
          <c:tx>
            <c:strRef>
              <c:f>SOOJUS!$C$25</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SOOJUS!$D$25:$O$25</c:f>
              <c:numCache>
                <c:formatCode>#\ ##0.0</c:formatCode>
                <c:ptCount val="12"/>
              </c:numCache>
            </c:numRef>
          </c:val>
          <c:smooth val="0"/>
          <c:extLst>
            <c:ext xmlns:c16="http://schemas.microsoft.com/office/drawing/2014/chart" uri="{C3380CC4-5D6E-409C-BE32-E72D297353CC}">
              <c16:uniqueId val="{00000000-9D08-4076-8611-40E394E02126}"/>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SOOJUS!$B$27</c:f>
          <c:strCache>
            <c:ptCount val="1"/>
            <c:pt idx="0">
              <c:v>2028</c:v>
            </c:pt>
          </c:strCache>
        </c:strRef>
      </c:tx>
      <c:overlay val="0"/>
      <c:txPr>
        <a:bodyPr/>
        <a:lstStyle/>
        <a:p>
          <a:pPr>
            <a:defRPr sz="1000"/>
          </a:pPr>
          <a:endParaRPr lang="et-EE"/>
        </a:p>
      </c:txPr>
    </c:title>
    <c:autoTitleDeleted val="0"/>
    <c:plotArea>
      <c:layout/>
      <c:lineChart>
        <c:grouping val="standard"/>
        <c:varyColors val="0"/>
        <c:ser>
          <c:idx val="1"/>
          <c:order val="0"/>
          <c:tx>
            <c:strRef>
              <c:f>SOOJUS!$C$27</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SOOJUS!$D$27:$O$27</c:f>
              <c:numCache>
                <c:formatCode>#\ ##0.0</c:formatCode>
                <c:ptCount val="12"/>
              </c:numCache>
            </c:numRef>
          </c:val>
          <c:smooth val="0"/>
          <c:extLst>
            <c:ext xmlns:c16="http://schemas.microsoft.com/office/drawing/2014/chart" uri="{C3380CC4-5D6E-409C-BE32-E72D297353CC}">
              <c16:uniqueId val="{00000000-41EC-4D57-81FD-C6985708A9AD}"/>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VESI!$C$16</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VESI!$D$16:$O$16</c:f>
              <c:numCache>
                <c:formatCode>#\ ##0.0</c:formatCode>
                <c:ptCount val="12"/>
              </c:numCache>
            </c:numRef>
          </c:val>
          <c:smooth val="0"/>
          <c:extLst>
            <c:ext xmlns:c16="http://schemas.microsoft.com/office/drawing/2014/chart" uri="{C3380CC4-5D6E-409C-BE32-E72D297353CC}">
              <c16:uniqueId val="{00000000-7373-4A78-AC06-4383297A597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VESI!$C$18</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VESI!$D$18:$O$18</c:f>
              <c:numCache>
                <c:formatCode>#\ ##0.0</c:formatCode>
                <c:ptCount val="12"/>
              </c:numCache>
            </c:numRef>
          </c:val>
          <c:smooth val="0"/>
          <c:extLst>
            <c:ext xmlns:c16="http://schemas.microsoft.com/office/drawing/2014/chart" uri="{C3380CC4-5D6E-409C-BE32-E72D297353CC}">
              <c16:uniqueId val="{00000000-AF7B-4586-AD94-CA689D150A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VESI!$C$20</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VESI!$D$20:$O$20</c:f>
              <c:numCache>
                <c:formatCode>#\ ##0.0</c:formatCode>
                <c:ptCount val="12"/>
              </c:numCache>
            </c:numRef>
          </c:val>
          <c:smooth val="0"/>
          <c:extLst>
            <c:ext xmlns:c16="http://schemas.microsoft.com/office/drawing/2014/chart" uri="{C3380CC4-5D6E-409C-BE32-E72D297353CC}">
              <c16:uniqueId val="{00000000-BE21-4F08-B5A9-1D15DF12CDA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VESI!$C$22</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VESI!$D$22:$O$22</c:f>
              <c:numCache>
                <c:formatCode>#\ ##0.0</c:formatCode>
                <c:ptCount val="12"/>
              </c:numCache>
            </c:numRef>
          </c:val>
          <c:smooth val="0"/>
          <c:extLst>
            <c:ext xmlns:c16="http://schemas.microsoft.com/office/drawing/2014/chart" uri="{C3380CC4-5D6E-409C-BE32-E72D297353CC}">
              <c16:uniqueId val="{00000000-5AD9-4D82-B8A0-5FE57550943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VESI!$C$24</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VESI!$D$24:$O$24</c:f>
              <c:numCache>
                <c:formatCode>#\ ##0.0</c:formatCode>
                <c:ptCount val="12"/>
              </c:numCache>
            </c:numRef>
          </c:val>
          <c:smooth val="0"/>
          <c:extLst>
            <c:ext xmlns:c16="http://schemas.microsoft.com/office/drawing/2014/chart" uri="{C3380CC4-5D6E-409C-BE32-E72D297353CC}">
              <c16:uniqueId val="{00000000-0295-4910-8138-E10BF21575B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t-EE" sz="1050" b="1"/>
              <a:t>2025</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ELEKTER!$C$30</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ELEKTER!$D$30:$O$30</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7C40-45D9-94A4-0B0C6706B6DD}"/>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VESI!$B$12</c:f>
          <c:strCache>
            <c:ptCount val="1"/>
            <c:pt idx="0">
              <c:v>2022</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VESI!$C$12</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VESI!$D$12:$O$12</c:f>
              <c:numCache>
                <c:formatCode>#\ ##0.0</c:formatCode>
                <c:ptCount val="12"/>
              </c:numCache>
            </c:numRef>
          </c:val>
          <c:smooth val="0"/>
          <c:extLst>
            <c:ext xmlns:c16="http://schemas.microsoft.com/office/drawing/2014/chart" uri="{C3380CC4-5D6E-409C-BE32-E72D297353CC}">
              <c16:uniqueId val="{00000000-3175-407E-94C6-EA42C0116DB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VESI!$B$14</c:f>
          <c:strCache>
            <c:ptCount val="1"/>
            <c:pt idx="0">
              <c:v>2023</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VESI!$C$14</c:f>
              <c:strCache>
                <c:ptCount val="1"/>
                <c:pt idx="0">
                  <c:v>Veetarbimine muuseumis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VESI!$D$10:$O$11</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VESI!$D$14:$O$14</c:f>
              <c:numCache>
                <c:formatCode>#\ ##0.0</c:formatCode>
                <c:ptCount val="12"/>
              </c:numCache>
            </c:numRef>
          </c:val>
          <c:smooth val="0"/>
          <c:extLst>
            <c:ext xmlns:c16="http://schemas.microsoft.com/office/drawing/2014/chart" uri="{C3380CC4-5D6E-409C-BE32-E72D297353CC}">
              <c16:uniqueId val="{00000000-455C-4806-860F-7B5707B08B2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KOOND!$B$54</c:f>
              <c:strCache>
                <c:ptCount val="1"/>
                <c:pt idx="0">
                  <c:v>Olmejäätmete teke külastaja kohta (kg/in)</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KOOND!$C$45:$I$45</c:f>
              <c:numCache>
                <c:formatCode>General</c:formatCode>
                <c:ptCount val="7"/>
                <c:pt idx="0">
                  <c:v>2022</c:v>
                </c:pt>
                <c:pt idx="1">
                  <c:v>2023</c:v>
                </c:pt>
                <c:pt idx="2">
                  <c:v>2024</c:v>
                </c:pt>
                <c:pt idx="3">
                  <c:v>2025</c:v>
                </c:pt>
                <c:pt idx="4">
                  <c:v>2026</c:v>
                </c:pt>
                <c:pt idx="5">
                  <c:v>2027</c:v>
                </c:pt>
                <c:pt idx="6">
                  <c:v>2028</c:v>
                </c:pt>
              </c:numCache>
            </c:numRef>
          </c:cat>
          <c:val>
            <c:numRef>
              <c:f>KOOND!$C$54:$I$54</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0E-4F68-B549-E4BC3940B606}"/>
            </c:ext>
          </c:extLst>
        </c:ser>
        <c:dLbls>
          <c:showLegendKey val="0"/>
          <c:showVal val="1"/>
          <c:showCatName val="0"/>
          <c:showSerName val="0"/>
          <c:showPercent val="0"/>
          <c:showBubbleSize val="0"/>
        </c:dLbls>
        <c:marker val="1"/>
        <c:smooth val="0"/>
        <c:axId val="1090777784"/>
        <c:axId val="1090782704"/>
      </c:lineChart>
      <c:catAx>
        <c:axId val="1090777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090782704"/>
        <c:crosses val="autoZero"/>
        <c:auto val="1"/>
        <c:lblAlgn val="ctr"/>
        <c:lblOffset val="100"/>
        <c:noMultiLvlLbl val="0"/>
      </c:catAx>
      <c:valAx>
        <c:axId val="1090782704"/>
        <c:scaling>
          <c:orientation val="minMax"/>
        </c:scaling>
        <c:delete val="1"/>
        <c:axPos val="l"/>
        <c:numFmt formatCode="#\ ##0.0" sourceLinked="1"/>
        <c:majorTickMark val="none"/>
        <c:minorTickMark val="none"/>
        <c:tickLblPos val="nextTo"/>
        <c:crossAx val="1090777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KOOND!$B$13</c:f>
              <c:strCache>
                <c:ptCount val="1"/>
                <c:pt idx="0">
                  <c:v>Elektrienergia tarbimine külastaja kohta (kWh/in)</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KOOND!$C$9:$I$9</c:f>
              <c:numCache>
                <c:formatCode>General</c:formatCode>
                <c:ptCount val="7"/>
                <c:pt idx="0">
                  <c:v>2022</c:v>
                </c:pt>
                <c:pt idx="1">
                  <c:v>2023</c:v>
                </c:pt>
                <c:pt idx="2">
                  <c:v>2024</c:v>
                </c:pt>
                <c:pt idx="3">
                  <c:v>2025</c:v>
                </c:pt>
                <c:pt idx="4">
                  <c:v>2026</c:v>
                </c:pt>
                <c:pt idx="5">
                  <c:v>2027</c:v>
                </c:pt>
                <c:pt idx="6">
                  <c:v>2028</c:v>
                </c:pt>
              </c:numCache>
            </c:numRef>
          </c:cat>
          <c:val>
            <c:numRef>
              <c:f>KOOND!$C$13:$I$13</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ADC5-4078-A193-4DDE0AF24DEC}"/>
            </c:ext>
          </c:extLst>
        </c:ser>
        <c:dLbls>
          <c:showLegendKey val="0"/>
          <c:showVal val="1"/>
          <c:showCatName val="0"/>
          <c:showSerName val="0"/>
          <c:showPercent val="0"/>
          <c:showBubbleSize val="0"/>
        </c:dLbls>
        <c:marker val="1"/>
        <c:smooth val="0"/>
        <c:axId val="743040032"/>
        <c:axId val="743047576"/>
      </c:lineChart>
      <c:catAx>
        <c:axId val="743040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743047576"/>
        <c:crosses val="autoZero"/>
        <c:auto val="1"/>
        <c:lblAlgn val="ctr"/>
        <c:lblOffset val="100"/>
        <c:noMultiLvlLbl val="0"/>
      </c:catAx>
      <c:valAx>
        <c:axId val="743047576"/>
        <c:scaling>
          <c:orientation val="minMax"/>
        </c:scaling>
        <c:delete val="1"/>
        <c:axPos val="l"/>
        <c:numFmt formatCode="#\ ##0.0" sourceLinked="1"/>
        <c:majorTickMark val="none"/>
        <c:minorTickMark val="none"/>
        <c:tickLblPos val="nextTo"/>
        <c:crossAx val="743040032"/>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KOOND!$B$12</c:f>
              <c:strCache>
                <c:ptCount val="1"/>
                <c:pt idx="0">
                  <c:v>Elektrienergia tarbimine kokku (kWh)</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KOOND!$C$9:$I$9</c:f>
              <c:numCache>
                <c:formatCode>General</c:formatCode>
                <c:ptCount val="7"/>
                <c:pt idx="0">
                  <c:v>2022</c:v>
                </c:pt>
                <c:pt idx="1">
                  <c:v>2023</c:v>
                </c:pt>
                <c:pt idx="2">
                  <c:v>2024</c:v>
                </c:pt>
                <c:pt idx="3">
                  <c:v>2025</c:v>
                </c:pt>
                <c:pt idx="4">
                  <c:v>2026</c:v>
                </c:pt>
                <c:pt idx="5">
                  <c:v>2027</c:v>
                </c:pt>
                <c:pt idx="6">
                  <c:v>2028</c:v>
                </c:pt>
              </c:numCache>
            </c:numRef>
          </c:cat>
          <c:val>
            <c:numRef>
              <c:f>KOOND!$C$12:$I$12</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14-4562-AE2B-B722BD86FBE6}"/>
            </c:ext>
          </c:extLst>
        </c:ser>
        <c:dLbls>
          <c:dLblPos val="t"/>
          <c:showLegendKey val="0"/>
          <c:showVal val="1"/>
          <c:showCatName val="0"/>
          <c:showSerName val="0"/>
          <c:showPercent val="0"/>
          <c:showBubbleSize val="0"/>
        </c:dLbls>
        <c:marker val="1"/>
        <c:smooth val="0"/>
        <c:axId val="322193600"/>
        <c:axId val="322200672"/>
      </c:lineChart>
      <c:catAx>
        <c:axId val="3221936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0672"/>
        <c:crosses val="autoZero"/>
        <c:auto val="1"/>
        <c:lblAlgn val="ctr"/>
        <c:lblOffset val="100"/>
        <c:noMultiLvlLbl val="0"/>
      </c:catAx>
      <c:valAx>
        <c:axId val="322200672"/>
        <c:scaling>
          <c:orientation val="minMax"/>
        </c:scaling>
        <c:delete val="1"/>
        <c:axPos val="l"/>
        <c:numFmt formatCode="#\ ##0.0" sourceLinked="1"/>
        <c:majorTickMark val="none"/>
        <c:minorTickMark val="none"/>
        <c:tickLblPos val="nextTo"/>
        <c:crossAx val="3221936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KOOND!$B$20</c:f>
              <c:strCache>
                <c:ptCount val="1"/>
                <c:pt idx="0">
                  <c:v>Soojusenergia tarbimine muuseumis (kWh)</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KOOND!$C$19:$I$19</c:f>
              <c:numCache>
                <c:formatCode>General</c:formatCode>
                <c:ptCount val="7"/>
                <c:pt idx="0">
                  <c:v>2022</c:v>
                </c:pt>
                <c:pt idx="1">
                  <c:v>2023</c:v>
                </c:pt>
                <c:pt idx="2">
                  <c:v>2024</c:v>
                </c:pt>
                <c:pt idx="3">
                  <c:v>2025</c:v>
                </c:pt>
                <c:pt idx="4">
                  <c:v>2026</c:v>
                </c:pt>
                <c:pt idx="5">
                  <c:v>2027</c:v>
                </c:pt>
                <c:pt idx="6">
                  <c:v>2028</c:v>
                </c:pt>
              </c:numCache>
            </c:numRef>
          </c:cat>
          <c:val>
            <c:numRef>
              <c:f>KOOND!$C$20:$I$20</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E32-4922-BA8B-C09A9CCDADE3}"/>
            </c:ext>
          </c:extLst>
        </c:ser>
        <c:dLbls>
          <c:dLblPos val="t"/>
          <c:showLegendKey val="0"/>
          <c:showVal val="1"/>
          <c:showCatName val="0"/>
          <c:showSerName val="0"/>
          <c:showPercent val="0"/>
          <c:showBubbleSize val="0"/>
        </c:dLbls>
        <c:marker val="1"/>
        <c:smooth val="0"/>
        <c:axId val="309256784"/>
        <c:axId val="309262192"/>
      </c:lineChart>
      <c:catAx>
        <c:axId val="309256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09262192"/>
        <c:crosses val="autoZero"/>
        <c:auto val="1"/>
        <c:lblAlgn val="ctr"/>
        <c:lblOffset val="100"/>
        <c:noMultiLvlLbl val="0"/>
      </c:catAx>
      <c:valAx>
        <c:axId val="309262192"/>
        <c:scaling>
          <c:orientation val="minMax"/>
        </c:scaling>
        <c:delete val="1"/>
        <c:axPos val="l"/>
        <c:numFmt formatCode="#\ ##0.0" sourceLinked="1"/>
        <c:majorTickMark val="none"/>
        <c:minorTickMark val="none"/>
        <c:tickLblPos val="nextTo"/>
        <c:crossAx val="309256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KOOND!$B$21</c:f>
              <c:strCache>
                <c:ptCount val="1"/>
                <c:pt idx="0">
                  <c:v>Soojusenergia tarbimine muuseumi ruutmeetri kohta (kWh/m²)</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KOOND!$C$19:$I$19</c:f>
              <c:numCache>
                <c:formatCode>General</c:formatCode>
                <c:ptCount val="7"/>
                <c:pt idx="0">
                  <c:v>2022</c:v>
                </c:pt>
                <c:pt idx="1">
                  <c:v>2023</c:v>
                </c:pt>
                <c:pt idx="2">
                  <c:v>2024</c:v>
                </c:pt>
                <c:pt idx="3">
                  <c:v>2025</c:v>
                </c:pt>
                <c:pt idx="4">
                  <c:v>2026</c:v>
                </c:pt>
                <c:pt idx="5">
                  <c:v>2027</c:v>
                </c:pt>
                <c:pt idx="6">
                  <c:v>2028</c:v>
                </c:pt>
              </c:numCache>
            </c:numRef>
          </c:cat>
          <c:val>
            <c:numRef>
              <c:f>KOOND!$C$21:$I$21</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2E6-43DA-9F03-742632A6E3AC}"/>
            </c:ext>
          </c:extLst>
        </c:ser>
        <c:dLbls>
          <c:showLegendKey val="0"/>
          <c:showVal val="0"/>
          <c:showCatName val="0"/>
          <c:showSerName val="0"/>
          <c:showPercent val="0"/>
          <c:showBubbleSize val="0"/>
        </c:dLbls>
        <c:marker val="1"/>
        <c:smooth val="0"/>
        <c:axId val="322214400"/>
        <c:axId val="322203584"/>
      </c:lineChart>
      <c:catAx>
        <c:axId val="3222144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3584"/>
        <c:crosses val="autoZero"/>
        <c:auto val="1"/>
        <c:lblAlgn val="ctr"/>
        <c:lblOffset val="100"/>
        <c:noMultiLvlLbl val="0"/>
      </c:catAx>
      <c:valAx>
        <c:axId val="322203584"/>
        <c:scaling>
          <c:orientation val="minMax"/>
        </c:scaling>
        <c:delete val="1"/>
        <c:axPos val="l"/>
        <c:numFmt formatCode="#\ ##0.0" sourceLinked="1"/>
        <c:majorTickMark val="none"/>
        <c:minorTickMark val="none"/>
        <c:tickLblPos val="nextTo"/>
        <c:crossAx val="3222144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KOOND!$B$28</c:f>
              <c:strCache>
                <c:ptCount val="1"/>
                <c:pt idx="0">
                  <c:v>Veetarbimine muuseumis (m³)</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KOOND!$C$27:$I$27</c:f>
              <c:numCache>
                <c:formatCode>General</c:formatCode>
                <c:ptCount val="7"/>
                <c:pt idx="0">
                  <c:v>2022</c:v>
                </c:pt>
                <c:pt idx="1">
                  <c:v>2023</c:v>
                </c:pt>
                <c:pt idx="2">
                  <c:v>2024</c:v>
                </c:pt>
                <c:pt idx="3">
                  <c:v>2025</c:v>
                </c:pt>
                <c:pt idx="4">
                  <c:v>2026</c:v>
                </c:pt>
                <c:pt idx="5">
                  <c:v>2027</c:v>
                </c:pt>
                <c:pt idx="6">
                  <c:v>2028</c:v>
                </c:pt>
              </c:numCache>
            </c:numRef>
          </c:cat>
          <c:val>
            <c:numRef>
              <c:f>KOOND!$C$28:$I$28</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4E9-45AF-93B7-ECF45AD78B74}"/>
            </c:ext>
          </c:extLst>
        </c:ser>
        <c:dLbls>
          <c:dLblPos val="t"/>
          <c:showLegendKey val="0"/>
          <c:showVal val="1"/>
          <c:showCatName val="0"/>
          <c:showSerName val="0"/>
          <c:showPercent val="0"/>
          <c:showBubbleSize val="0"/>
        </c:dLbls>
        <c:marker val="1"/>
        <c:smooth val="0"/>
        <c:axId val="383965584"/>
        <c:axId val="383949360"/>
      </c:lineChart>
      <c:catAx>
        <c:axId val="383965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83949360"/>
        <c:crosses val="autoZero"/>
        <c:auto val="1"/>
        <c:lblAlgn val="ctr"/>
        <c:lblOffset val="100"/>
        <c:noMultiLvlLbl val="0"/>
      </c:catAx>
      <c:valAx>
        <c:axId val="383949360"/>
        <c:scaling>
          <c:orientation val="minMax"/>
        </c:scaling>
        <c:delete val="1"/>
        <c:axPos val="l"/>
        <c:numFmt formatCode="#\ ##0.0" sourceLinked="1"/>
        <c:majorTickMark val="none"/>
        <c:minorTickMark val="none"/>
        <c:tickLblPos val="nextTo"/>
        <c:crossAx val="3839655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KOOND!$B$29</c:f>
              <c:strCache>
                <c:ptCount val="1"/>
                <c:pt idx="0">
                  <c:v>Veetarbimine külastaja kohta (m³/in)</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KOOND!$C$27:$I$27</c:f>
              <c:numCache>
                <c:formatCode>General</c:formatCode>
                <c:ptCount val="7"/>
                <c:pt idx="0">
                  <c:v>2022</c:v>
                </c:pt>
                <c:pt idx="1">
                  <c:v>2023</c:v>
                </c:pt>
                <c:pt idx="2">
                  <c:v>2024</c:v>
                </c:pt>
                <c:pt idx="3">
                  <c:v>2025</c:v>
                </c:pt>
                <c:pt idx="4">
                  <c:v>2026</c:v>
                </c:pt>
                <c:pt idx="5">
                  <c:v>2027</c:v>
                </c:pt>
                <c:pt idx="6">
                  <c:v>2028</c:v>
                </c:pt>
              </c:numCache>
            </c:numRef>
          </c:cat>
          <c:val>
            <c:numRef>
              <c:f>KOOND!$C$29:$I$29</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AED-4500-840B-C4818B68CBF6}"/>
            </c:ext>
          </c:extLst>
        </c:ser>
        <c:dLbls>
          <c:dLblPos val="t"/>
          <c:showLegendKey val="0"/>
          <c:showVal val="1"/>
          <c:showCatName val="0"/>
          <c:showSerName val="0"/>
          <c:showPercent val="0"/>
          <c:showBubbleSize val="0"/>
        </c:dLbls>
        <c:marker val="1"/>
        <c:smooth val="0"/>
        <c:axId val="215746720"/>
        <c:axId val="215754624"/>
      </c:lineChart>
      <c:catAx>
        <c:axId val="215746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215754624"/>
        <c:crosses val="autoZero"/>
        <c:auto val="1"/>
        <c:lblAlgn val="ctr"/>
        <c:lblOffset val="100"/>
        <c:noMultiLvlLbl val="0"/>
      </c:catAx>
      <c:valAx>
        <c:axId val="215754624"/>
        <c:scaling>
          <c:orientation val="minMax"/>
        </c:scaling>
        <c:delete val="1"/>
        <c:axPos val="l"/>
        <c:numFmt formatCode="#\ ##0.0" sourceLinked="1"/>
        <c:majorTickMark val="none"/>
        <c:minorTickMark val="none"/>
        <c:tickLblPos val="nextTo"/>
        <c:crossAx val="21574672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KOOND!$B$36</c:f>
              <c:strCache>
                <c:ptCount val="1"/>
                <c:pt idx="0">
                  <c:v>Ostetud kontoripaber (kg)</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KOOND!$C$35:$I$35</c:f>
              <c:numCache>
                <c:formatCode>General</c:formatCode>
                <c:ptCount val="7"/>
                <c:pt idx="0">
                  <c:v>2022</c:v>
                </c:pt>
                <c:pt idx="1">
                  <c:v>2023</c:v>
                </c:pt>
                <c:pt idx="2">
                  <c:v>2024</c:v>
                </c:pt>
                <c:pt idx="3">
                  <c:v>2025</c:v>
                </c:pt>
                <c:pt idx="4">
                  <c:v>2026</c:v>
                </c:pt>
                <c:pt idx="5">
                  <c:v>2027</c:v>
                </c:pt>
                <c:pt idx="6">
                  <c:v>2028</c:v>
                </c:pt>
              </c:numCache>
            </c:numRef>
          </c:cat>
          <c:val>
            <c:numRef>
              <c:f>KOOND!$C$36:$I$36</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32C-45F5-B9EE-F8726CD0238D}"/>
            </c:ext>
          </c:extLst>
        </c:ser>
        <c:dLbls>
          <c:dLblPos val="t"/>
          <c:showLegendKey val="0"/>
          <c:showVal val="1"/>
          <c:showCatName val="0"/>
          <c:showSerName val="0"/>
          <c:showPercent val="0"/>
          <c:showBubbleSize val="0"/>
        </c:dLbls>
        <c:marker val="1"/>
        <c:smooth val="0"/>
        <c:axId val="147877696"/>
        <c:axId val="147875200"/>
      </c:lineChart>
      <c:catAx>
        <c:axId val="147877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47875200"/>
        <c:crosses val="autoZero"/>
        <c:auto val="1"/>
        <c:lblAlgn val="ctr"/>
        <c:lblOffset val="100"/>
        <c:noMultiLvlLbl val="0"/>
      </c:catAx>
      <c:valAx>
        <c:axId val="147875200"/>
        <c:scaling>
          <c:orientation val="minMax"/>
        </c:scaling>
        <c:delete val="1"/>
        <c:axPos val="l"/>
        <c:numFmt formatCode="#\ ##0.0" sourceLinked="1"/>
        <c:majorTickMark val="none"/>
        <c:minorTickMark val="none"/>
        <c:tickLblPos val="nextTo"/>
        <c:crossAx val="14787769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t-EE" sz="1050" b="1"/>
              <a:t>2026</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ELEKTER!$C$35</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ELEKTER!$D$35:$O$35</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BBE-4F2D-BC84-FF9639BE5D44}"/>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KOOND!$B$37</c:f>
              <c:strCache>
                <c:ptCount val="1"/>
                <c:pt idx="0">
                  <c:v>Kontoripaberi lehti (A4) töötaja kohta (lehti/in)</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KOOND!$C$35:$I$35</c:f>
              <c:numCache>
                <c:formatCode>General</c:formatCode>
                <c:ptCount val="7"/>
                <c:pt idx="0">
                  <c:v>2022</c:v>
                </c:pt>
                <c:pt idx="1">
                  <c:v>2023</c:v>
                </c:pt>
                <c:pt idx="2">
                  <c:v>2024</c:v>
                </c:pt>
                <c:pt idx="3">
                  <c:v>2025</c:v>
                </c:pt>
                <c:pt idx="4">
                  <c:v>2026</c:v>
                </c:pt>
                <c:pt idx="5">
                  <c:v>2027</c:v>
                </c:pt>
                <c:pt idx="6">
                  <c:v>2028</c:v>
                </c:pt>
              </c:numCache>
            </c:numRef>
          </c:cat>
          <c:val>
            <c:numRef>
              <c:f>KOOND!$C$37:$I$37</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5C6-4660-A039-8C138A01D77E}"/>
            </c:ext>
          </c:extLst>
        </c:ser>
        <c:dLbls>
          <c:dLblPos val="t"/>
          <c:showLegendKey val="0"/>
          <c:showVal val="1"/>
          <c:showCatName val="0"/>
          <c:showSerName val="0"/>
          <c:showPercent val="0"/>
          <c:showBubbleSize val="0"/>
        </c:dLbls>
        <c:marker val="1"/>
        <c:smooth val="0"/>
        <c:axId val="455369216"/>
        <c:axId val="455353408"/>
      </c:lineChart>
      <c:catAx>
        <c:axId val="4553692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455353408"/>
        <c:crosses val="autoZero"/>
        <c:auto val="1"/>
        <c:lblAlgn val="ctr"/>
        <c:lblOffset val="100"/>
        <c:noMultiLvlLbl val="0"/>
      </c:catAx>
      <c:valAx>
        <c:axId val="455353408"/>
        <c:scaling>
          <c:orientation val="minMax"/>
        </c:scaling>
        <c:delete val="1"/>
        <c:axPos val="l"/>
        <c:numFmt formatCode="#\ ##0.0" sourceLinked="1"/>
        <c:majorTickMark val="none"/>
        <c:minorTickMark val="none"/>
        <c:tickLblPos val="nextTo"/>
        <c:crossAx val="45536921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mn-lt"/>
                <a:ea typeface="+mn-ea"/>
                <a:cs typeface="+mn-cs"/>
              </a:defRPr>
            </a:pPr>
            <a:r>
              <a:rPr lang="en-US" sz="1000" b="1" i="0" cap="all" spc="100" baseline="0">
                <a:effectLst/>
              </a:rPr>
              <a:t>Ol</a:t>
            </a:r>
            <a:r>
              <a:rPr lang="et-EE" sz="1000" b="1" i="0" cap="all" spc="100" baseline="0">
                <a:effectLst/>
              </a:rPr>
              <a:t>mejäätmete teke (kg) ja liigiti kogutud jäätmete osakaal</a:t>
            </a:r>
            <a:endParaRPr lang="en-GB" sz="1000" spc="100" baseline="0">
              <a:effectLst/>
            </a:endParaRPr>
          </a:p>
        </c:rich>
      </c:tx>
      <c:overlay val="0"/>
      <c:spPr>
        <a:noFill/>
        <a:ln>
          <a:noFill/>
        </a:ln>
        <a:effectLst/>
      </c:spPr>
      <c:txPr>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tx>
            <c:strRef>
              <c:f>KOOND!$B$52</c:f>
              <c:strCache>
                <c:ptCount val="1"/>
                <c:pt idx="0">
                  <c:v>Olmejäätmete teke kokku (kg)</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KOOND!$C$45:$I$45</c:f>
              <c:numCache>
                <c:formatCode>General</c:formatCode>
                <c:ptCount val="7"/>
                <c:pt idx="0">
                  <c:v>2022</c:v>
                </c:pt>
                <c:pt idx="1">
                  <c:v>2023</c:v>
                </c:pt>
                <c:pt idx="2">
                  <c:v>2024</c:v>
                </c:pt>
                <c:pt idx="3">
                  <c:v>2025</c:v>
                </c:pt>
                <c:pt idx="4">
                  <c:v>2026</c:v>
                </c:pt>
                <c:pt idx="5">
                  <c:v>2027</c:v>
                </c:pt>
                <c:pt idx="6">
                  <c:v>2028</c:v>
                </c:pt>
              </c:numCache>
            </c:numRef>
          </c:cat>
          <c:val>
            <c:numRef>
              <c:f>KOOND!$C$52:$I$52</c:f>
              <c:numCache>
                <c:formatCode>#\ ##0.0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396-48FF-9FD5-F905E53C482B}"/>
            </c:ext>
          </c:extLst>
        </c:ser>
        <c:dLbls>
          <c:showLegendKey val="0"/>
          <c:showVal val="1"/>
          <c:showCatName val="0"/>
          <c:showSerName val="0"/>
          <c:showPercent val="0"/>
          <c:showBubbleSize val="0"/>
        </c:dLbls>
        <c:gapWidth val="79"/>
        <c:overlap val="100"/>
        <c:axId val="1338821872"/>
        <c:axId val="1338818960"/>
      </c:barChart>
      <c:lineChart>
        <c:grouping val="standard"/>
        <c:varyColors val="0"/>
        <c:ser>
          <c:idx val="1"/>
          <c:order val="1"/>
          <c:tx>
            <c:strRef>
              <c:f>KOOND!$B$55</c:f>
              <c:strCache>
                <c:ptCount val="1"/>
                <c:pt idx="0">
                  <c:v>Liigiti kogutud jäätmete osakaal (%)</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strRef>
                  <c:f>KOOND!$C$55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{2B1B5611-17E8-4B24-A514-4D54E66AC46E}</c15:txfldGUID>
                      <c15:f>KOOND!$C$55</c15:f>
                      <c15:dlblFieldTableCache>
                        <c:ptCount val="1"/>
                        <c:pt idx="0">
                          <c:v>#DIV/0!</c:v>
                        </c:pt>
                      </c15:dlblFieldTableCache>
                    </c15:dlblFTEntry>
                  </c15:dlblFieldTable>
                  <c15:showDataLabelsRange val="0"/>
                </c:ext>
                <c:ext xmlns:c16="http://schemas.microsoft.com/office/drawing/2014/chart" uri="{C3380CC4-5D6E-409C-BE32-E72D297353CC}">
                  <c16:uniqueId val="{00000002-D396-48FF-9FD5-F905E53C482B}"/>
                </c:ext>
              </c:extLst>
            </c:dLbl>
            <c:dLbl>
              <c:idx val="1"/>
              <c:tx>
                <c:strRef>
                  <c:f>KOOND!$D$55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{266E66CF-1591-4BDA-895C-335D47FA575A}</c15:txfldGUID>
                      <c15:f>KOOND!$D$55</c15:f>
                      <c15:dlblFieldTableCache>
                        <c:ptCount val="1"/>
                        <c:pt idx="0">
                          <c:v>#DIV/0!</c:v>
                        </c:pt>
                      </c15:dlblFieldTableCache>
                    </c15:dlblFTEntry>
                  </c15:dlblFieldTable>
                  <c15:showDataLabelsRange val="0"/>
                </c:ext>
                <c:ext xmlns:c16="http://schemas.microsoft.com/office/drawing/2014/chart" uri="{C3380CC4-5D6E-409C-BE32-E72D297353CC}">
                  <c16:uniqueId val="{00000003-D396-48FF-9FD5-F905E53C482B}"/>
                </c:ext>
              </c:extLst>
            </c:dLbl>
            <c:dLbl>
              <c:idx val="2"/>
              <c:tx>
                <c:strRef>
                  <c:f>KOOND!$E$55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{2761B514-53DB-4765-BD2F-7F90397A8101}</c15:txfldGUID>
                      <c15:f>KOOND!$E$55</c15:f>
                      <c15:dlblFieldTableCache>
                        <c:ptCount val="1"/>
                        <c:pt idx="0">
                          <c:v>#DIV/0!</c:v>
                        </c:pt>
                      </c15:dlblFieldTableCache>
                    </c15:dlblFTEntry>
                  </c15:dlblFieldTable>
                  <c15:showDataLabelsRange val="0"/>
                </c:ext>
                <c:ext xmlns:c16="http://schemas.microsoft.com/office/drawing/2014/chart" uri="{C3380CC4-5D6E-409C-BE32-E72D297353CC}">
                  <c16:uniqueId val="{00000004-D396-48FF-9FD5-F905E53C482B}"/>
                </c:ext>
              </c:extLst>
            </c:dLbl>
            <c:dLbl>
              <c:idx val="3"/>
              <c:tx>
                <c:strRef>
                  <c:f>KOOND!$F$55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{016354BC-D689-466E-95C8-FC650FCA7A8E}</c15:txfldGUID>
                      <c15:f>KOOND!$F$55</c15:f>
                      <c15:dlblFieldTableCache>
                        <c:ptCount val="1"/>
                        <c:pt idx="0">
                          <c:v>#DIV/0!</c:v>
                        </c:pt>
                      </c15:dlblFieldTableCache>
                    </c15:dlblFTEntry>
                  </c15:dlblFieldTable>
                  <c15:showDataLabelsRange val="0"/>
                </c:ext>
                <c:ext xmlns:c16="http://schemas.microsoft.com/office/drawing/2014/chart" uri="{C3380CC4-5D6E-409C-BE32-E72D297353CC}">
                  <c16:uniqueId val="{00000005-D396-48FF-9FD5-F905E53C482B}"/>
                </c:ext>
              </c:extLst>
            </c:dLbl>
            <c:dLbl>
              <c:idx val="4"/>
              <c:tx>
                <c:strRef>
                  <c:f>KOOND!$G$55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{DDB8BE86-95CE-46FF-88FC-A236468D90A3}</c15:txfldGUID>
                      <c15:f>KOOND!$G$55</c15:f>
                      <c15:dlblFieldTableCache>
                        <c:ptCount val="1"/>
                        <c:pt idx="0">
                          <c:v>#DIV/0!</c:v>
                        </c:pt>
                      </c15:dlblFieldTableCache>
                    </c15:dlblFTEntry>
                  </c15:dlblFieldTable>
                  <c15:showDataLabelsRange val="0"/>
                </c:ext>
                <c:ext xmlns:c16="http://schemas.microsoft.com/office/drawing/2014/chart" uri="{C3380CC4-5D6E-409C-BE32-E72D297353CC}">
                  <c16:uniqueId val="{00000006-D396-48FF-9FD5-F905E53C482B}"/>
                </c:ext>
              </c:extLst>
            </c:dLbl>
            <c:dLbl>
              <c:idx val="5"/>
              <c:tx>
                <c:strRef>
                  <c:f>KOOND!$H$55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{94EE981A-CDD0-4BD7-9C73-DC03C56B4650}</c15:txfldGUID>
                      <c15:f>KOOND!$H$55</c15:f>
                      <c15:dlblFieldTableCache>
                        <c:ptCount val="1"/>
                        <c:pt idx="0">
                          <c:v>#DIV/0!</c:v>
                        </c:pt>
                      </c15:dlblFieldTableCache>
                    </c15:dlblFTEntry>
                  </c15:dlblFieldTable>
                  <c15:showDataLabelsRange val="0"/>
                </c:ext>
                <c:ext xmlns:c16="http://schemas.microsoft.com/office/drawing/2014/chart" uri="{C3380CC4-5D6E-409C-BE32-E72D297353CC}">
                  <c16:uniqueId val="{00000007-D396-48FF-9FD5-F905E53C482B}"/>
                </c:ext>
              </c:extLst>
            </c:dLbl>
            <c:dLbl>
              <c:idx val="6"/>
              <c:tx>
                <c:strRef>
                  <c:f>KOOND!$I$55</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{80E53F63-F4BD-41EC-9948-2536D67C9410}</c15:txfldGUID>
                      <c15:f>KOOND!$I$55</c15:f>
                      <c15:dlblFieldTableCache>
                        <c:ptCount val="1"/>
                        <c:pt idx="0">
                          <c:v>#DIV/0!</c:v>
                        </c:pt>
                      </c15:dlblFieldTableCache>
                    </c15:dlblFTEntry>
                  </c15:dlblFieldTable>
                  <c15:showDataLabelsRange val="0"/>
                </c:ext>
                <c:ext xmlns:c16="http://schemas.microsoft.com/office/drawing/2014/chart" uri="{C3380CC4-5D6E-409C-BE32-E72D297353CC}">
                  <c16:uniqueId val="{00000008-D396-48FF-9FD5-F905E53C482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KOOND!$C$50:$I$50</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396-48FF-9FD5-F905E53C482B}"/>
            </c:ext>
          </c:extLst>
        </c:ser>
        <c:dLbls>
          <c:showLegendKey val="0"/>
          <c:showVal val="1"/>
          <c:showCatName val="0"/>
          <c:showSerName val="0"/>
          <c:showPercent val="0"/>
          <c:showBubbleSize val="0"/>
        </c:dLbls>
        <c:marker val="1"/>
        <c:smooth val="0"/>
        <c:axId val="1338821872"/>
        <c:axId val="1338818960"/>
      </c:lineChart>
      <c:catAx>
        <c:axId val="1338821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18960"/>
        <c:crosses val="autoZero"/>
        <c:auto val="1"/>
        <c:lblAlgn val="ctr"/>
        <c:lblOffset val="100"/>
        <c:noMultiLvlLbl val="0"/>
      </c:catAx>
      <c:valAx>
        <c:axId val="1338818960"/>
        <c:scaling>
          <c:orientation val="minMax"/>
        </c:scaling>
        <c:delete val="0"/>
        <c:axPos val="l"/>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21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'KHG JALAJÄLG KOOND'!$B$5</c:f>
          <c:strCache>
            <c:ptCount val="1"/>
            <c:pt idx="0">
              <c:v>KHG JALAJÄLG MÕJUALADE KAUPA (CO₂ ekv t/a)</c:v>
            </c:pt>
          </c:strCache>
        </c:strRef>
      </c:tx>
      <c:overlay val="0"/>
      <c:spPr>
        <a:noFill/>
        <a:ln>
          <a:noFill/>
        </a:ln>
        <a:effectLst/>
      </c:spPr>
      <c:txPr>
        <a:bodyPr rot="0" spcFirstLastPara="1" vertOverflow="ellipsis" vert="horz" wrap="square" anchor="ctr" anchorCtr="1"/>
        <a:lstStyle/>
        <a:p>
          <a:pPr>
            <a:defRPr lang="en-US" sz="1050" b="1" i="0" u="none" strike="noStrike" kern="1200" cap="all" spc="120" normalizeH="0" baseline="0">
              <a:solidFill>
                <a:sysClr val="windowText" lastClr="000000">
                  <a:lumMod val="65000"/>
                  <a:lumOff val="35000"/>
                </a:sysClr>
              </a:solidFill>
              <a:latin typeface="+mn-lt"/>
              <a:ea typeface="+mn-ea"/>
              <a:cs typeface="+mn-cs"/>
            </a:defRPr>
          </a:pPr>
          <a:endParaRPr lang="et-EE"/>
        </a:p>
      </c:txPr>
    </c:title>
    <c:autoTitleDeleted val="0"/>
    <c:plotArea>
      <c:layout/>
      <c:barChart>
        <c:barDir val="col"/>
        <c:grouping val="stacked"/>
        <c:varyColors val="0"/>
        <c:ser>
          <c:idx val="2"/>
          <c:order val="0"/>
          <c:tx>
            <c:strRef>
              <c:f>'KHG JALAJÄLG KOOND'!$B$32</c:f>
              <c:strCache>
                <c:ptCount val="1"/>
                <c:pt idx="0">
                  <c:v>Mõjuala 3 ‒ muu kaudne KHG heide </c:v>
                </c:pt>
              </c:strCache>
            </c:strRef>
          </c:tx>
          <c:spPr>
            <a:solidFill>
              <a:srgbClr val="559E5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KOOND'!$C$29:$I$29</c:f>
              <c:numCache>
                <c:formatCode>General</c:formatCode>
                <c:ptCount val="7"/>
                <c:pt idx="0">
                  <c:v>2022</c:v>
                </c:pt>
                <c:pt idx="1">
                  <c:v>2023</c:v>
                </c:pt>
                <c:pt idx="2">
                  <c:v>2024</c:v>
                </c:pt>
                <c:pt idx="3">
                  <c:v>2025</c:v>
                </c:pt>
                <c:pt idx="4">
                  <c:v>2026</c:v>
                </c:pt>
                <c:pt idx="5">
                  <c:v>2027</c:v>
                </c:pt>
                <c:pt idx="6">
                  <c:v>2028</c:v>
                </c:pt>
              </c:numCache>
            </c:numRef>
          </c:cat>
          <c:val>
            <c:numRef>
              <c:f>'KHG JALAJÄLG KOOND'!$C$32:$I$32</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5E55-4482-9EA6-96A3233C307C}"/>
            </c:ext>
          </c:extLst>
        </c:ser>
        <c:ser>
          <c:idx val="1"/>
          <c:order val="1"/>
          <c:tx>
            <c:strRef>
              <c:f>'KHG JALAJÄLG KOOND'!$B$31</c:f>
              <c:strCache>
                <c:ptCount val="1"/>
                <c:pt idx="0">
                  <c:v>Mõjuala 2 ‒ energiatarbimisest tulenev kaudne KHG heide</c:v>
                </c:pt>
              </c:strCache>
            </c:strRef>
          </c:tx>
          <c:spPr>
            <a:solidFill>
              <a:srgbClr val="98CA32"/>
            </a:solidFill>
            <a:ln>
              <a:solidFill>
                <a:srgbClr val="A5FF4B"/>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KOOND'!$C$29:$I$29</c:f>
              <c:numCache>
                <c:formatCode>General</c:formatCode>
                <c:ptCount val="7"/>
                <c:pt idx="0">
                  <c:v>2022</c:v>
                </c:pt>
                <c:pt idx="1">
                  <c:v>2023</c:v>
                </c:pt>
                <c:pt idx="2">
                  <c:v>2024</c:v>
                </c:pt>
                <c:pt idx="3">
                  <c:v>2025</c:v>
                </c:pt>
                <c:pt idx="4">
                  <c:v>2026</c:v>
                </c:pt>
                <c:pt idx="5">
                  <c:v>2027</c:v>
                </c:pt>
                <c:pt idx="6">
                  <c:v>2028</c:v>
                </c:pt>
              </c:numCache>
            </c:numRef>
          </c:cat>
          <c:val>
            <c:numRef>
              <c:f>'KHG JALAJÄLG KOOND'!$C$31:$I$31</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5E55-4482-9EA6-96A3233C307C}"/>
            </c:ext>
          </c:extLst>
        </c:ser>
        <c:ser>
          <c:idx val="0"/>
          <c:order val="2"/>
          <c:tx>
            <c:strRef>
              <c:f>'KHG JALAJÄLG KOOND'!$B$30</c:f>
              <c:strCache>
                <c:ptCount val="1"/>
                <c:pt idx="0">
                  <c:v>Mõjuala 1 ‒ organisatsiooni omatud/kontrollitud heiteallikatest tulenev otsene KHG heide</c:v>
                </c:pt>
              </c:strCache>
            </c:strRef>
          </c:tx>
          <c:spPr>
            <a:solidFill>
              <a:srgbClr val="E4F13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KOOND'!$C$29:$I$29</c:f>
              <c:numCache>
                <c:formatCode>General</c:formatCode>
                <c:ptCount val="7"/>
                <c:pt idx="0">
                  <c:v>2022</c:v>
                </c:pt>
                <c:pt idx="1">
                  <c:v>2023</c:v>
                </c:pt>
                <c:pt idx="2">
                  <c:v>2024</c:v>
                </c:pt>
                <c:pt idx="3">
                  <c:v>2025</c:v>
                </c:pt>
                <c:pt idx="4">
                  <c:v>2026</c:v>
                </c:pt>
                <c:pt idx="5">
                  <c:v>2027</c:v>
                </c:pt>
                <c:pt idx="6">
                  <c:v>2028</c:v>
                </c:pt>
              </c:numCache>
            </c:numRef>
          </c:cat>
          <c:val>
            <c:numRef>
              <c:f>'KHG JALAJÄLG KOOND'!$C$30:$I$30</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5E55-4482-9EA6-96A3233C307C}"/>
            </c:ext>
          </c:extLst>
        </c:ser>
        <c:dLbls>
          <c:dLblPos val="ctr"/>
          <c:showLegendKey val="0"/>
          <c:showVal val="1"/>
          <c:showCatName val="0"/>
          <c:showSerName val="0"/>
          <c:showPercent val="0"/>
          <c:showBubbleSize val="0"/>
        </c:dLbls>
        <c:gapWidth val="79"/>
        <c:overlap val="100"/>
        <c:axId val="1343493296"/>
        <c:axId val="1343479984"/>
      </c:barChart>
      <c:catAx>
        <c:axId val="13434932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343479984"/>
        <c:crosses val="autoZero"/>
        <c:auto val="1"/>
        <c:lblAlgn val="ctr"/>
        <c:lblOffset val="100"/>
        <c:noMultiLvlLbl val="0"/>
      </c:catAx>
      <c:valAx>
        <c:axId val="1343479984"/>
        <c:scaling>
          <c:orientation val="minMax"/>
        </c:scaling>
        <c:delete val="0"/>
        <c:axPos val="l"/>
        <c:numFmt formatCode="0.00"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4349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t-EE" sz="1050" b="1"/>
              <a:t>2027</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ELEKTER!$C$40</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ELEKTER!$D$40:$O$40</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2A7-4AD8-88BA-BD08973BE567}"/>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t-EE" sz="1050" b="1"/>
              <a:t>2028</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ELEKTER!$C$45</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ELEKTER!$D$45:$O$45</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FDD-4A5A-A88B-7445BC5CECC1}"/>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n-US" sz="1050" b="1"/>
              <a:t>202</a:t>
            </a:r>
            <a:r>
              <a:rPr lang="et-EE" sz="1050" b="1"/>
              <a:t>3</a:t>
            </a:r>
            <a:endParaRPr lang="en-US" sz="1050" b="1"/>
          </a:p>
        </c:rich>
      </c:tx>
      <c:overlay val="0"/>
      <c:spPr>
        <a:noFill/>
        <a:ln>
          <a:noFill/>
        </a:ln>
        <a:effectLst/>
      </c:spPr>
    </c:title>
    <c:autoTitleDeleted val="0"/>
    <c:plotArea>
      <c:layout/>
      <c:lineChart>
        <c:grouping val="standard"/>
        <c:varyColors val="0"/>
        <c:ser>
          <c:idx val="0"/>
          <c:order val="0"/>
          <c:tx>
            <c:strRef>
              <c:f>ELEKTER!$C$20</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ELEKTER!$D$20:$O$20</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CA5-4ADE-8836-9443A9FB99AF}"/>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n-US" sz="1050" b="1"/>
              <a:t>202</a:t>
            </a:r>
            <a:r>
              <a:rPr lang="et-EE" sz="1050" b="1"/>
              <a:t>2</a:t>
            </a:r>
            <a:endParaRPr lang="en-US" sz="1050" b="1"/>
          </a:p>
        </c:rich>
      </c:tx>
      <c:overlay val="0"/>
      <c:spPr>
        <a:noFill/>
        <a:ln>
          <a:noFill/>
        </a:ln>
        <a:effectLst/>
      </c:spPr>
    </c:title>
    <c:autoTitleDeleted val="0"/>
    <c:plotArea>
      <c:layout/>
      <c:lineChart>
        <c:grouping val="standard"/>
        <c:varyColors val="0"/>
        <c:ser>
          <c:idx val="0"/>
          <c:order val="0"/>
          <c:tx>
            <c:strRef>
              <c:f>ELEKTER!$C$15</c:f>
              <c:strCache>
                <c:ptCount val="1"/>
                <c:pt idx="0">
                  <c:v>Elektritarbimine kokku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ELEKTER!$D$15:$O$15</c:f>
              <c:numCache>
                <c:formatCode>#\ ##0.0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CDA-42D3-B086-03763EBEE378}"/>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SOOJUS!$B$15</c:f>
          <c:strCache>
            <c:ptCount val="1"/>
            <c:pt idx="0">
              <c:v>2022</c:v>
            </c:pt>
          </c:strCache>
        </c:strRef>
      </c:tx>
      <c:overlay val="0"/>
      <c:txPr>
        <a:bodyPr/>
        <a:lstStyle/>
        <a:p>
          <a:pPr>
            <a:defRPr sz="1000"/>
          </a:pPr>
          <a:endParaRPr lang="et-EE"/>
        </a:p>
      </c:txPr>
    </c:title>
    <c:autoTitleDeleted val="0"/>
    <c:plotArea>
      <c:layout/>
      <c:lineChart>
        <c:grouping val="standard"/>
        <c:varyColors val="0"/>
        <c:ser>
          <c:idx val="1"/>
          <c:order val="0"/>
          <c:tx>
            <c:strRef>
              <c:f>SOOJUS!$C$15</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SOOJUS!$D$15:$O$15</c:f>
              <c:numCache>
                <c:formatCode>#\ ##0.0</c:formatCode>
                <c:ptCount val="12"/>
              </c:numCache>
            </c:numRef>
          </c:val>
          <c:smooth val="0"/>
          <c:extLst>
            <c:ext xmlns:c16="http://schemas.microsoft.com/office/drawing/2014/chart" uri="{C3380CC4-5D6E-409C-BE32-E72D297353CC}">
              <c16:uniqueId val="{00000000-C567-4C93-9F68-9C7887B50E7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SOOJUS!$B$17</c:f>
          <c:strCache>
            <c:ptCount val="1"/>
            <c:pt idx="0">
              <c:v>2023</c:v>
            </c:pt>
          </c:strCache>
        </c:strRef>
      </c:tx>
      <c:overlay val="0"/>
      <c:txPr>
        <a:bodyPr/>
        <a:lstStyle/>
        <a:p>
          <a:pPr>
            <a:defRPr sz="1000"/>
          </a:pPr>
          <a:endParaRPr lang="et-EE"/>
        </a:p>
      </c:txPr>
    </c:title>
    <c:autoTitleDeleted val="0"/>
    <c:plotArea>
      <c:layout/>
      <c:lineChart>
        <c:grouping val="standard"/>
        <c:varyColors val="0"/>
        <c:ser>
          <c:idx val="1"/>
          <c:order val="0"/>
          <c:tx>
            <c:strRef>
              <c:f>SOOJUS!$C$17</c:f>
              <c:strCache>
                <c:ptCount val="1"/>
                <c:pt idx="0">
                  <c:v>Soojusenergia tarbimine muuseumis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SOOJUS!$D$11:$O$14</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SOOJUS!$D$17:$O$17</c:f>
              <c:numCache>
                <c:formatCode>#\ ##0.0</c:formatCode>
                <c:ptCount val="12"/>
              </c:numCache>
            </c:numRef>
          </c:val>
          <c:smooth val="0"/>
          <c:extLst>
            <c:ext xmlns:c16="http://schemas.microsoft.com/office/drawing/2014/chart" uri="{C3380CC4-5D6E-409C-BE32-E72D297353CC}">
              <c16:uniqueId val="{00000000-6C74-4E3C-83FF-281E55084A5B}"/>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size">
        <cx:f>_xlchart.v1.0</cx:f>
      </cx:numDim>
    </cx:data>
  </cx:chartData>
  <cx:chart>
    <cx:title pos="t" align="ctr" overlay="0">
      <cx:tx>
        <cx:rich>
          <a:bodyPr spcFirstLastPara="1" vertOverflow="ellipsis" horzOverflow="overflow" wrap="square" lIns="0" tIns="0" rIns="0" bIns="0" anchor="ctr" anchorCtr="1"/>
          <a:lstStyle/>
          <a:p>
            <a:pPr algn="ctr" rtl="0">
              <a:defRPr sz="1050" spc="100" baseline="0">
                <a:latin typeface="+mn-lt"/>
              </a:defRPr>
            </a:pPr>
            <a:r>
              <a:rPr lang="et-EE" sz="1050" b="1" i="0" u="none" strike="noStrike" kern="1200" spc="100" baseline="0" dirty="0">
                <a:solidFill>
                  <a:sysClr val="windowText" lastClr="000000">
                    <a:lumMod val="65000"/>
                    <a:lumOff val="35000"/>
                  </a:sysClr>
                </a:solidFill>
                <a:latin typeface="+mn-lt"/>
                <a:ea typeface="+mn-ea"/>
                <a:cs typeface="+mn-cs"/>
              </a:rPr>
              <a:t>SÜSINIKU</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JALAJÄLG</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a:t>
            </a:r>
          </a:p>
        </cx:rich>
      </cx:tx>
    </cx:title>
    <cx:plotArea>
      <cx:plotAreaRegion>
        <cx:series layoutId="sunburst" uniqueId="{177A02C2-F34F-4C81-BD15-F970E0CD2CE2}">
          <cx:dataPt idx="0">
            <cx:spPr>
              <a:solidFill>
                <a:srgbClr val="E4F132"/>
              </a:solidFill>
            </cx:spPr>
          </cx:dataPt>
          <cx:dataPt idx="3">
            <cx:spPr>
              <a:solidFill>
                <a:srgbClr val="98CA32"/>
              </a:solidFill>
            </cx:spPr>
          </cx:dataPt>
          <cx:dataPt idx="7">
            <cx:spPr>
              <a:solidFill>
                <a:srgbClr val="559E54"/>
              </a:solidFill>
            </cx:spPr>
          </cx:dataPt>
          <cx:dataLabels>
            <cx:visibility seriesName="0" categoryName="1" value="1"/>
            <cx:separator>
</cx:separator>
            <cx:dataLabel idx="5">
              <cx:txPr>
                <a:bodyPr spcFirstLastPara="1" vertOverflow="ellipsis" horzOverflow="overflow" wrap="square" lIns="0" tIns="0" rIns="0" bIns="0" anchor="ctr" anchorCtr="1"/>
                <a:lstStyle/>
                <a:p>
                  <a:pPr algn="ctr" rtl="0">
                    <a:defRPr>
                      <a:solidFill>
                        <a:schemeClr val="tx1"/>
                      </a:solidFill>
                    </a:defRPr>
                  </a:pPr>
                  <a:r>
                    <a:rPr lang="et-EE" sz="900" b="0" i="0" u="none" strike="noStrike" baseline="0">
                      <a:solidFill>
                        <a:schemeClr val="tx1"/>
                      </a:solidFill>
                      <a:latin typeface="Calibri" panose="020F0502020204030204"/>
                    </a:rPr>
                    <a:t>Organisatsiooni elektriautod
2,4%</a:t>
                  </a:r>
                </a:p>
              </cx:txPr>
              <cx:visibility seriesName="0" categoryName="1" value="1"/>
              <cx:separator>
</cx:separator>
            </cx:dataLabel>
          </cx:dataLabels>
          <cx:dataId val="0"/>
        </cx:series>
      </cx:plotAreaRegion>
    </cx:plotArea>
  </cx:chart>
  <cx:spPr>
    <a:ln>
      <a:noFill/>
    </a:ln>
  </cx:spPr>
</cx: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85">
  <cs:axisTitle>
    <cs:lnRef idx="0"/>
    <cs:fillRef idx="0"/>
    <cs:effectRef idx="0"/>
    <cs:fontRef idx="minor">
      <a:schemeClr val="tx2"/>
    </cs:fontRef>
    <cs:defRPr sz="9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dk1"/>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2"/>
    </cs:fontRef>
    <cs:spPr>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ln>
        <a:solidFill>
          <a:schemeClr val="bg1"/>
        </a:solidFill>
      </a:ln>
    </cs:spPr>
  </cs:dataPoint>
  <cs:dataPoint3D>
    <cs:lnRef idx="0"/>
    <cs:fillRef idx="0">
      <cs:styleClr val="auto"/>
    </cs:fillRef>
    <cs:effectRef idx="0"/>
    <cs:fontRef idx="minor">
      <a:schemeClr val="tx2"/>
    </cs:fontRef>
    <cs:spPr>
      <a:solidFill>
        <a:schemeClr val="phClr"/>
      </a:solidFill>
    </cs:spPr>
  </cs:dataPoint3D>
  <cs:dataPointLine>
    <cs:lnRef idx="0">
      <cs:styleClr val="auto"/>
    </cs:lnRef>
    <cs:fillRef idx="0"/>
    <cs:effectRef idx="0"/>
    <cs:fontRef idx="minor">
      <a:schemeClr val="tx2"/>
    </cs:fontRef>
    <cs:spPr>
      <a:ln w="28575" cap="rnd">
        <a:solidFill>
          <a:schemeClr val="phClr"/>
        </a:solidFill>
        <a:round/>
      </a:ln>
    </cs:spPr>
  </cs:dataPointLine>
  <cs:dataPointMarker>
    <cs:lnRef idx="0"/>
    <cs:fillRef idx="0">
      <cs:styleClr val="auto"/>
    </cs:fillRef>
    <cs:effectRef idx="0"/>
    <cs:fontRef idx="minor">
      <a:schemeClr val="tx2"/>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2"/>
    </cs:fontRef>
    <cs:spPr>
      <a:ln w="2857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2"/>
    </cs:fontRef>
    <cs:defRPr sz="9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cs:seriesAxis>
  <cs:seriesLine>
    <cs:lnRef idx="0"/>
    <cs:fillRef idx="0"/>
    <cs:effectRef idx="0"/>
    <cs:fontRef idx="minor">
      <a:schemeClr val="tx2"/>
    </cs:fontRef>
    <cs:spPr>
      <a:ln w="9525" cap="flat">
        <a:solidFill>
          <a:srgbClr val="D9D9D9"/>
        </a:solidFill>
        <a:round/>
      </a:ln>
    </cs:spPr>
  </cs:seriesLine>
  <cs:title>
    <cs:lnRef idx="0"/>
    <cs:fillRef idx="0"/>
    <cs:effectRef idx="0"/>
    <cs:fontRef idx="minor">
      <a:schemeClr val="tx2"/>
    </cs:fontRef>
    <cs:defRPr sz="1600" b="1"/>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9.xml"/><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chart" Target="../charts/chart25.xml"/><Relationship Id="rId9"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2" Type="http://schemas.microsoft.com/office/2014/relationships/chartEx" Target="../charts/chartEx1.xml"/><Relationship Id="rId1" Type="http://schemas.openxmlformats.org/officeDocument/2006/relationships/chart" Target="../charts/chart32.xml"/></Relationships>
</file>

<file path=xl/drawings/drawing1.xml><?xml version="1.0" encoding="utf-8"?>
<xdr:wsDr xmlns:xdr="http://schemas.openxmlformats.org/drawingml/2006/spreadsheetDrawing" xmlns:a="http://schemas.openxmlformats.org/drawingml/2006/main">
  <xdr:twoCellAnchor editAs="oneCell">
    <xdr:from>
      <xdr:col>2</xdr:col>
      <xdr:colOff>260236</xdr:colOff>
      <xdr:row>1</xdr:row>
      <xdr:rowOff>82550</xdr:rowOff>
    </xdr:from>
    <xdr:to>
      <xdr:col>6</xdr:col>
      <xdr:colOff>470544</xdr:colOff>
      <xdr:row>5</xdr:row>
      <xdr:rowOff>44449</xdr:rowOff>
    </xdr:to>
    <xdr:pic>
      <xdr:nvPicPr>
        <xdr:cNvPr id="3" name="Pilt 4">
          <a:extLst>
            <a:ext uri="{FF2B5EF4-FFF2-40B4-BE49-F238E27FC236}">
              <a16:creationId xmlns:a16="http://schemas.microsoft.com/office/drawing/2014/main" id="{6F3F1448-D250-14AA-A95D-4570044B16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9386" y="266700"/>
          <a:ext cx="2648708" cy="723899"/>
        </a:xfrm>
        <a:prstGeom prst="rect">
          <a:avLst/>
        </a:prstGeom>
      </xdr:spPr>
    </xdr:pic>
    <xdr:clientData/>
  </xdr:twoCellAnchor>
  <xdr:twoCellAnchor editAs="oneCell">
    <xdr:from>
      <xdr:col>0</xdr:col>
      <xdr:colOff>0</xdr:colOff>
      <xdr:row>0</xdr:row>
      <xdr:rowOff>0</xdr:rowOff>
    </xdr:from>
    <xdr:to>
      <xdr:col>2</xdr:col>
      <xdr:colOff>425450</xdr:colOff>
      <xdr:row>6</xdr:row>
      <xdr:rowOff>82803</xdr:rowOff>
    </xdr:to>
    <xdr:pic>
      <xdr:nvPicPr>
        <xdr:cNvPr id="6" name="Pilt 3">
          <a:extLst>
            <a:ext uri="{FF2B5EF4-FFF2-40B4-BE49-F238E27FC236}">
              <a16:creationId xmlns:a16="http://schemas.microsoft.com/office/drawing/2014/main" id="{8167269B-81F0-F77D-E9AA-BAB7DE9245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206500" cy="1273428"/>
        </a:xfrm>
        <a:prstGeom prst="rect">
          <a:avLst/>
        </a:prstGeom>
      </xdr:spPr>
    </xdr:pic>
    <xdr:clientData/>
  </xdr:twoCellAnchor>
  <xdr:twoCellAnchor editAs="oneCell">
    <xdr:from>
      <xdr:col>11</xdr:col>
      <xdr:colOff>120015</xdr:colOff>
      <xdr:row>1</xdr:row>
      <xdr:rowOff>53340</xdr:rowOff>
    </xdr:from>
    <xdr:to>
      <xdr:col>13</xdr:col>
      <xdr:colOff>0</xdr:colOff>
      <xdr:row>6</xdr:row>
      <xdr:rowOff>83212</xdr:rowOff>
    </xdr:to>
    <xdr:pic>
      <xdr:nvPicPr>
        <xdr:cNvPr id="2" name="Pilt 1">
          <a:extLst>
            <a:ext uri="{FF2B5EF4-FFF2-40B4-BE49-F238E27FC236}">
              <a16:creationId xmlns:a16="http://schemas.microsoft.com/office/drawing/2014/main" id="{A075D9CA-DC56-14A9-DCCC-6B02402A2F8D}"/>
            </a:ext>
          </a:extLst>
        </xdr:cNvPr>
        <xdr:cNvPicPr>
          <a:picLocks noChangeAspect="1"/>
        </xdr:cNvPicPr>
      </xdr:nvPicPr>
      <xdr:blipFill>
        <a:blip xmlns:r="http://schemas.openxmlformats.org/officeDocument/2006/relationships" r:embed="rId3"/>
        <a:stretch>
          <a:fillRect/>
        </a:stretch>
      </xdr:blipFill>
      <xdr:spPr>
        <a:xfrm>
          <a:off x="6473190" y="243840"/>
          <a:ext cx="1099185" cy="10299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264487</xdr:colOff>
      <xdr:row>20</xdr:row>
      <xdr:rowOff>163928</xdr:rowOff>
    </xdr:from>
    <xdr:to>
      <xdr:col>27</xdr:col>
      <xdr:colOff>597187</xdr:colOff>
      <xdr:row>26</xdr:row>
      <xdr:rowOff>26288</xdr:rowOff>
    </xdr:to>
    <xdr:graphicFrame macro="">
      <xdr:nvGraphicFramePr>
        <xdr:cNvPr id="12" name="Diagramm 4">
          <a:extLst>
            <a:ext uri="{FF2B5EF4-FFF2-40B4-BE49-F238E27FC236}">
              <a16:creationId xmlns:a16="http://schemas.microsoft.com/office/drawing/2014/main" id="{A7602BE8-8E5B-4ECF-9E99-73FC0932D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256462</xdr:colOff>
      <xdr:row>25</xdr:row>
      <xdr:rowOff>188031</xdr:rowOff>
    </xdr:from>
    <xdr:to>
      <xdr:col>27</xdr:col>
      <xdr:colOff>589162</xdr:colOff>
      <xdr:row>31</xdr:row>
      <xdr:rowOff>50391</xdr:rowOff>
    </xdr:to>
    <xdr:graphicFrame macro="">
      <xdr:nvGraphicFramePr>
        <xdr:cNvPr id="13" name="Diagramm 5">
          <a:extLst>
            <a:ext uri="{FF2B5EF4-FFF2-40B4-BE49-F238E27FC236}">
              <a16:creationId xmlns:a16="http://schemas.microsoft.com/office/drawing/2014/main" id="{6EEFADA6-53DE-4C8A-BCB8-D632E14EF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254700</xdr:colOff>
      <xdr:row>31</xdr:row>
      <xdr:rowOff>23752</xdr:rowOff>
    </xdr:from>
    <xdr:to>
      <xdr:col>27</xdr:col>
      <xdr:colOff>587400</xdr:colOff>
      <xdr:row>36</xdr:row>
      <xdr:rowOff>76612</xdr:rowOff>
    </xdr:to>
    <xdr:graphicFrame macro="">
      <xdr:nvGraphicFramePr>
        <xdr:cNvPr id="14" name="Diagramm 6">
          <a:extLst>
            <a:ext uri="{FF2B5EF4-FFF2-40B4-BE49-F238E27FC236}">
              <a16:creationId xmlns:a16="http://schemas.microsoft.com/office/drawing/2014/main" id="{FB9660E0-9455-4D3B-AA26-EAD8F7E7C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248437</xdr:colOff>
      <xdr:row>36</xdr:row>
      <xdr:rowOff>54205</xdr:rowOff>
    </xdr:from>
    <xdr:to>
      <xdr:col>27</xdr:col>
      <xdr:colOff>581137</xdr:colOff>
      <xdr:row>41</xdr:row>
      <xdr:rowOff>107065</xdr:rowOff>
    </xdr:to>
    <xdr:graphicFrame macro="">
      <xdr:nvGraphicFramePr>
        <xdr:cNvPr id="15" name="Diagramm 7">
          <a:extLst>
            <a:ext uri="{FF2B5EF4-FFF2-40B4-BE49-F238E27FC236}">
              <a16:creationId xmlns:a16="http://schemas.microsoft.com/office/drawing/2014/main" id="{B415B845-24DA-4944-BEDC-24FB3ACF1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272515</xdr:colOff>
      <xdr:row>41</xdr:row>
      <xdr:rowOff>84656</xdr:rowOff>
    </xdr:from>
    <xdr:to>
      <xdr:col>27</xdr:col>
      <xdr:colOff>605215</xdr:colOff>
      <xdr:row>46</xdr:row>
      <xdr:rowOff>137516</xdr:rowOff>
    </xdr:to>
    <xdr:graphicFrame macro="">
      <xdr:nvGraphicFramePr>
        <xdr:cNvPr id="16" name="Diagramm 8">
          <a:extLst>
            <a:ext uri="{FF2B5EF4-FFF2-40B4-BE49-F238E27FC236}">
              <a16:creationId xmlns:a16="http://schemas.microsoft.com/office/drawing/2014/main" id="{365EA2A0-F775-4FEE-960C-36A89CBFA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272515</xdr:colOff>
      <xdr:row>15</xdr:row>
      <xdr:rowOff>133474</xdr:rowOff>
    </xdr:from>
    <xdr:to>
      <xdr:col>27</xdr:col>
      <xdr:colOff>605215</xdr:colOff>
      <xdr:row>20</xdr:row>
      <xdr:rowOff>186334</xdr:rowOff>
    </xdr:to>
    <xdr:graphicFrame macro="">
      <xdr:nvGraphicFramePr>
        <xdr:cNvPr id="11" name="Diagramm 2">
          <a:extLst>
            <a:ext uri="{FF2B5EF4-FFF2-40B4-BE49-F238E27FC236}">
              <a16:creationId xmlns:a16="http://schemas.microsoft.com/office/drawing/2014/main" id="{CDF05889-369F-4FCF-A24E-BEA7CF8C4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263608</xdr:colOff>
      <xdr:row>10</xdr:row>
      <xdr:rowOff>102648</xdr:rowOff>
    </xdr:from>
    <xdr:to>
      <xdr:col>27</xdr:col>
      <xdr:colOff>596308</xdr:colOff>
      <xdr:row>15</xdr:row>
      <xdr:rowOff>155508</xdr:rowOff>
    </xdr:to>
    <xdr:graphicFrame macro="">
      <xdr:nvGraphicFramePr>
        <xdr:cNvPr id="4" name="Diagramm 9">
          <a:extLst>
            <a:ext uri="{FF2B5EF4-FFF2-40B4-BE49-F238E27FC236}">
              <a16:creationId xmlns:a16="http://schemas.microsoft.com/office/drawing/2014/main" id="{B6F2D842-1E0C-4185-AB7D-3C8D63A56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19</xdr:col>
      <xdr:colOff>535095</xdr:colOff>
      <xdr:row>7</xdr:row>
      <xdr:rowOff>140969</xdr:rowOff>
    </xdr:from>
    <xdr:to>
      <xdr:col>28</xdr:col>
      <xdr:colOff>448695</xdr:colOff>
      <xdr:row>11</xdr:row>
      <xdr:rowOff>118019</xdr:rowOff>
    </xdr:to>
    <xdr:graphicFrame macro="">
      <xdr:nvGraphicFramePr>
        <xdr:cNvPr id="3" name="Diagramm 1">
          <a:extLst>
            <a:ext uri="{FF2B5EF4-FFF2-40B4-BE49-F238E27FC236}">
              <a16:creationId xmlns:a16="http://schemas.microsoft.com/office/drawing/2014/main" id="{5D71CD7F-910C-4485-9458-0000A7827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535095</xdr:colOff>
      <xdr:row>11</xdr:row>
      <xdr:rowOff>175612</xdr:rowOff>
    </xdr:from>
    <xdr:to>
      <xdr:col>28</xdr:col>
      <xdr:colOff>448695</xdr:colOff>
      <xdr:row>15</xdr:row>
      <xdr:rowOff>162187</xdr:rowOff>
    </xdr:to>
    <xdr:graphicFrame macro="">
      <xdr:nvGraphicFramePr>
        <xdr:cNvPr id="4" name="Diagramm 8">
          <a:extLst>
            <a:ext uri="{FF2B5EF4-FFF2-40B4-BE49-F238E27FC236}">
              <a16:creationId xmlns:a16="http://schemas.microsoft.com/office/drawing/2014/main" id="{052ACD3D-D265-4803-B901-D0CA89D5D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535095</xdr:colOff>
      <xdr:row>16</xdr:row>
      <xdr:rowOff>10230</xdr:rowOff>
    </xdr:from>
    <xdr:to>
      <xdr:col>28</xdr:col>
      <xdr:colOff>448695</xdr:colOff>
      <xdr:row>19</xdr:row>
      <xdr:rowOff>139680</xdr:rowOff>
    </xdr:to>
    <xdr:graphicFrame macro="">
      <xdr:nvGraphicFramePr>
        <xdr:cNvPr id="5" name="Diagramm 9">
          <a:extLst>
            <a:ext uri="{FF2B5EF4-FFF2-40B4-BE49-F238E27FC236}">
              <a16:creationId xmlns:a16="http://schemas.microsoft.com/office/drawing/2014/main" id="{EFA50349-939A-4F9C-B751-020D896F6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535095</xdr:colOff>
      <xdr:row>19</xdr:row>
      <xdr:rowOff>197273</xdr:rowOff>
    </xdr:from>
    <xdr:to>
      <xdr:col>28</xdr:col>
      <xdr:colOff>448695</xdr:colOff>
      <xdr:row>23</xdr:row>
      <xdr:rowOff>117173</xdr:rowOff>
    </xdr:to>
    <xdr:graphicFrame macro="">
      <xdr:nvGraphicFramePr>
        <xdr:cNvPr id="6" name="Diagramm 10">
          <a:extLst>
            <a:ext uri="{FF2B5EF4-FFF2-40B4-BE49-F238E27FC236}">
              <a16:creationId xmlns:a16="http://schemas.microsoft.com/office/drawing/2014/main" id="{11409333-DE12-48C7-9646-5102F5B83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535095</xdr:colOff>
      <xdr:row>23</xdr:row>
      <xdr:rowOff>174766</xdr:rowOff>
    </xdr:from>
    <xdr:to>
      <xdr:col>28</xdr:col>
      <xdr:colOff>448695</xdr:colOff>
      <xdr:row>27</xdr:row>
      <xdr:rowOff>94666</xdr:rowOff>
    </xdr:to>
    <xdr:graphicFrame macro="">
      <xdr:nvGraphicFramePr>
        <xdr:cNvPr id="7" name="Diagramm 11">
          <a:extLst>
            <a:ext uri="{FF2B5EF4-FFF2-40B4-BE49-F238E27FC236}">
              <a16:creationId xmlns:a16="http://schemas.microsoft.com/office/drawing/2014/main" id="{681E2C1E-EA61-4E5C-B8C2-1A8EEE4A5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535095</xdr:colOff>
      <xdr:row>27</xdr:row>
      <xdr:rowOff>152259</xdr:rowOff>
    </xdr:from>
    <xdr:to>
      <xdr:col>28</xdr:col>
      <xdr:colOff>448695</xdr:colOff>
      <xdr:row>31</xdr:row>
      <xdr:rowOff>91209</xdr:rowOff>
    </xdr:to>
    <xdr:graphicFrame macro="">
      <xdr:nvGraphicFramePr>
        <xdr:cNvPr id="8" name="Diagramm 12">
          <a:extLst>
            <a:ext uri="{FF2B5EF4-FFF2-40B4-BE49-F238E27FC236}">
              <a16:creationId xmlns:a16="http://schemas.microsoft.com/office/drawing/2014/main" id="{80118485-F7FF-41E9-BB90-6A33CB62BC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535095</xdr:colOff>
      <xdr:row>31</xdr:row>
      <xdr:rowOff>148801</xdr:rowOff>
    </xdr:from>
    <xdr:to>
      <xdr:col>28</xdr:col>
      <xdr:colOff>448695</xdr:colOff>
      <xdr:row>35</xdr:row>
      <xdr:rowOff>106801</xdr:rowOff>
    </xdr:to>
    <xdr:graphicFrame macro="">
      <xdr:nvGraphicFramePr>
        <xdr:cNvPr id="15" name="Diagramm 13">
          <a:extLst>
            <a:ext uri="{FF2B5EF4-FFF2-40B4-BE49-F238E27FC236}">
              <a16:creationId xmlns:a16="http://schemas.microsoft.com/office/drawing/2014/main" id="{3F483F35-D7A5-4A72-B0E8-56994CE0B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17</xdr:col>
      <xdr:colOff>42757</xdr:colOff>
      <xdr:row>14</xdr:row>
      <xdr:rowOff>151624</xdr:rowOff>
    </xdr:from>
    <xdr:to>
      <xdr:col>25</xdr:col>
      <xdr:colOff>194482</xdr:colOff>
      <xdr:row>18</xdr:row>
      <xdr:rowOff>147724</xdr:rowOff>
    </xdr:to>
    <xdr:graphicFrame macro="">
      <xdr:nvGraphicFramePr>
        <xdr:cNvPr id="11" name="Diagramm 3">
          <a:extLst>
            <a:ext uri="{FF2B5EF4-FFF2-40B4-BE49-F238E27FC236}">
              <a16:creationId xmlns:a16="http://schemas.microsoft.com/office/drawing/2014/main" id="{6EBFF006-3246-4116-8210-BFF87AC890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42757</xdr:colOff>
      <xdr:row>18</xdr:row>
      <xdr:rowOff>84667</xdr:rowOff>
    </xdr:from>
    <xdr:to>
      <xdr:col>25</xdr:col>
      <xdr:colOff>194482</xdr:colOff>
      <xdr:row>22</xdr:row>
      <xdr:rowOff>80767</xdr:rowOff>
    </xdr:to>
    <xdr:graphicFrame macro="">
      <xdr:nvGraphicFramePr>
        <xdr:cNvPr id="12" name="Diagramm 4">
          <a:extLst>
            <a:ext uri="{FF2B5EF4-FFF2-40B4-BE49-F238E27FC236}">
              <a16:creationId xmlns:a16="http://schemas.microsoft.com/office/drawing/2014/main" id="{948BB65D-2F62-4D06-AAC1-0E68DCBBE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42757</xdr:colOff>
      <xdr:row>22</xdr:row>
      <xdr:rowOff>17710</xdr:rowOff>
    </xdr:from>
    <xdr:to>
      <xdr:col>25</xdr:col>
      <xdr:colOff>194482</xdr:colOff>
      <xdr:row>26</xdr:row>
      <xdr:rowOff>13810</xdr:rowOff>
    </xdr:to>
    <xdr:graphicFrame macro="">
      <xdr:nvGraphicFramePr>
        <xdr:cNvPr id="13" name="Diagramm 5">
          <a:extLst>
            <a:ext uri="{FF2B5EF4-FFF2-40B4-BE49-F238E27FC236}">
              <a16:creationId xmlns:a16="http://schemas.microsoft.com/office/drawing/2014/main" id="{39A521B7-4117-480C-94E7-B6602EA48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42757</xdr:colOff>
      <xdr:row>25</xdr:row>
      <xdr:rowOff>131728</xdr:rowOff>
    </xdr:from>
    <xdr:to>
      <xdr:col>25</xdr:col>
      <xdr:colOff>194482</xdr:colOff>
      <xdr:row>29</xdr:row>
      <xdr:rowOff>127828</xdr:rowOff>
    </xdr:to>
    <xdr:graphicFrame macro="">
      <xdr:nvGraphicFramePr>
        <xdr:cNvPr id="14" name="Diagramm 6">
          <a:extLst>
            <a:ext uri="{FF2B5EF4-FFF2-40B4-BE49-F238E27FC236}">
              <a16:creationId xmlns:a16="http://schemas.microsoft.com/office/drawing/2014/main" id="{BD772A44-9A6E-4655-AAF4-2E73E2242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42757</xdr:colOff>
      <xdr:row>29</xdr:row>
      <xdr:rowOff>64769</xdr:rowOff>
    </xdr:from>
    <xdr:to>
      <xdr:col>25</xdr:col>
      <xdr:colOff>194482</xdr:colOff>
      <xdr:row>33</xdr:row>
      <xdr:rowOff>60869</xdr:rowOff>
    </xdr:to>
    <xdr:graphicFrame macro="">
      <xdr:nvGraphicFramePr>
        <xdr:cNvPr id="15" name="Diagramm 7">
          <a:extLst>
            <a:ext uri="{FF2B5EF4-FFF2-40B4-BE49-F238E27FC236}">
              <a16:creationId xmlns:a16="http://schemas.microsoft.com/office/drawing/2014/main" id="{9EDB092B-47DD-484F-A092-F3EAB16E5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42757</xdr:colOff>
      <xdr:row>7</xdr:row>
      <xdr:rowOff>104563</xdr:rowOff>
    </xdr:from>
    <xdr:to>
      <xdr:col>25</xdr:col>
      <xdr:colOff>194482</xdr:colOff>
      <xdr:row>11</xdr:row>
      <xdr:rowOff>100663</xdr:rowOff>
    </xdr:to>
    <xdr:graphicFrame macro="">
      <xdr:nvGraphicFramePr>
        <xdr:cNvPr id="2" name="Diagramm 8">
          <a:extLst>
            <a:ext uri="{FF2B5EF4-FFF2-40B4-BE49-F238E27FC236}">
              <a16:creationId xmlns:a16="http://schemas.microsoft.com/office/drawing/2014/main" id="{C75D630C-9334-4F38-8709-C6B9CC264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42757</xdr:colOff>
      <xdr:row>11</xdr:row>
      <xdr:rowOff>37606</xdr:rowOff>
    </xdr:from>
    <xdr:to>
      <xdr:col>25</xdr:col>
      <xdr:colOff>194482</xdr:colOff>
      <xdr:row>15</xdr:row>
      <xdr:rowOff>33706</xdr:rowOff>
    </xdr:to>
    <xdr:graphicFrame macro="">
      <xdr:nvGraphicFramePr>
        <xdr:cNvPr id="3" name="Diagramm 9">
          <a:extLst>
            <a:ext uri="{FF2B5EF4-FFF2-40B4-BE49-F238E27FC236}">
              <a16:creationId xmlns:a16="http://schemas.microsoft.com/office/drawing/2014/main" id="{C466B3B2-FCD0-4375-B736-68F2C897E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85725</xdr:colOff>
      <xdr:row>42</xdr:row>
      <xdr:rowOff>171449</xdr:rowOff>
    </xdr:from>
    <xdr:to>
      <xdr:col>25</xdr:col>
      <xdr:colOff>390525</xdr:colOff>
      <xdr:row>50</xdr:row>
      <xdr:rowOff>106499</xdr:rowOff>
    </xdr:to>
    <xdr:graphicFrame macro="">
      <xdr:nvGraphicFramePr>
        <xdr:cNvPr id="6" name="Diagramm 5">
          <a:extLst>
            <a:ext uri="{FF2B5EF4-FFF2-40B4-BE49-F238E27FC236}">
              <a16:creationId xmlns:a16="http://schemas.microsoft.com/office/drawing/2014/main" id="{9EDECE69-67A7-B98C-6956-D2EB68B9BD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85725</xdr:colOff>
      <xdr:row>5</xdr:row>
      <xdr:rowOff>161925</xdr:rowOff>
    </xdr:from>
    <xdr:to>
      <xdr:col>25</xdr:col>
      <xdr:colOff>390525</xdr:colOff>
      <xdr:row>13</xdr:row>
      <xdr:rowOff>87450</xdr:rowOff>
    </xdr:to>
    <xdr:graphicFrame macro="">
      <xdr:nvGraphicFramePr>
        <xdr:cNvPr id="7" name="Diagramm 6">
          <a:extLst>
            <a:ext uri="{FF2B5EF4-FFF2-40B4-BE49-F238E27FC236}">
              <a16:creationId xmlns:a16="http://schemas.microsoft.com/office/drawing/2014/main" id="{699EB422-A222-C687-C6E2-EDAF924CD6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563880</xdr:colOff>
      <xdr:row>5</xdr:row>
      <xdr:rowOff>161925</xdr:rowOff>
    </xdr:from>
    <xdr:to>
      <xdr:col>17</xdr:col>
      <xdr:colOff>259080</xdr:colOff>
      <xdr:row>13</xdr:row>
      <xdr:rowOff>87450</xdr:rowOff>
    </xdr:to>
    <xdr:graphicFrame macro="">
      <xdr:nvGraphicFramePr>
        <xdr:cNvPr id="4" name="Diagramm 3">
          <a:extLst>
            <a:ext uri="{FF2B5EF4-FFF2-40B4-BE49-F238E27FC236}">
              <a16:creationId xmlns:a16="http://schemas.microsoft.com/office/drawing/2014/main" id="{E8803764-B21D-32DE-708D-14298A4D03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563880</xdr:colOff>
      <xdr:row>15</xdr:row>
      <xdr:rowOff>57151</xdr:rowOff>
    </xdr:from>
    <xdr:to>
      <xdr:col>17</xdr:col>
      <xdr:colOff>259080</xdr:colOff>
      <xdr:row>22</xdr:row>
      <xdr:rowOff>173176</xdr:rowOff>
    </xdr:to>
    <xdr:graphicFrame macro="">
      <xdr:nvGraphicFramePr>
        <xdr:cNvPr id="5" name="Diagramm 4">
          <a:extLst>
            <a:ext uri="{FF2B5EF4-FFF2-40B4-BE49-F238E27FC236}">
              <a16:creationId xmlns:a16="http://schemas.microsoft.com/office/drawing/2014/main" id="{5ED24E01-00A7-F5B1-48BE-34AED3C1C9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85725</xdr:colOff>
      <xdr:row>15</xdr:row>
      <xdr:rowOff>57151</xdr:rowOff>
    </xdr:from>
    <xdr:to>
      <xdr:col>25</xdr:col>
      <xdr:colOff>390525</xdr:colOff>
      <xdr:row>22</xdr:row>
      <xdr:rowOff>173176</xdr:rowOff>
    </xdr:to>
    <xdr:graphicFrame macro="">
      <xdr:nvGraphicFramePr>
        <xdr:cNvPr id="8" name="Diagramm 7">
          <a:extLst>
            <a:ext uri="{FF2B5EF4-FFF2-40B4-BE49-F238E27FC236}">
              <a16:creationId xmlns:a16="http://schemas.microsoft.com/office/drawing/2014/main" id="{9BDF8593-7FF9-F27B-5DC3-6AFF08A56C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563880</xdr:colOff>
      <xdr:row>23</xdr:row>
      <xdr:rowOff>180974</xdr:rowOff>
    </xdr:from>
    <xdr:to>
      <xdr:col>17</xdr:col>
      <xdr:colOff>259080</xdr:colOff>
      <xdr:row>31</xdr:row>
      <xdr:rowOff>135074</xdr:rowOff>
    </xdr:to>
    <xdr:graphicFrame macro="">
      <xdr:nvGraphicFramePr>
        <xdr:cNvPr id="9" name="Diagramm 8">
          <a:extLst>
            <a:ext uri="{FF2B5EF4-FFF2-40B4-BE49-F238E27FC236}">
              <a16:creationId xmlns:a16="http://schemas.microsoft.com/office/drawing/2014/main" id="{9B7D675A-C184-90D3-52B9-06DC50F10A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85725</xdr:colOff>
      <xdr:row>23</xdr:row>
      <xdr:rowOff>180974</xdr:rowOff>
    </xdr:from>
    <xdr:to>
      <xdr:col>25</xdr:col>
      <xdr:colOff>390525</xdr:colOff>
      <xdr:row>31</xdr:row>
      <xdr:rowOff>135074</xdr:rowOff>
    </xdr:to>
    <xdr:graphicFrame macro="">
      <xdr:nvGraphicFramePr>
        <xdr:cNvPr id="10" name="Diagramm 9">
          <a:extLst>
            <a:ext uri="{FF2B5EF4-FFF2-40B4-BE49-F238E27FC236}">
              <a16:creationId xmlns:a16="http://schemas.microsoft.com/office/drawing/2014/main" id="{A0D25EF0-DEB3-390C-1E2E-C1FA64A819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563880</xdr:colOff>
      <xdr:row>33</xdr:row>
      <xdr:rowOff>9525</xdr:rowOff>
    </xdr:from>
    <xdr:to>
      <xdr:col>17</xdr:col>
      <xdr:colOff>259080</xdr:colOff>
      <xdr:row>40</xdr:row>
      <xdr:rowOff>135075</xdr:rowOff>
    </xdr:to>
    <xdr:graphicFrame macro="">
      <xdr:nvGraphicFramePr>
        <xdr:cNvPr id="11" name="Diagramm 10">
          <a:extLst>
            <a:ext uri="{FF2B5EF4-FFF2-40B4-BE49-F238E27FC236}">
              <a16:creationId xmlns:a16="http://schemas.microsoft.com/office/drawing/2014/main" id="{BA2B8232-05A6-9CB1-DFDE-14C70EF3B3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85725</xdr:colOff>
      <xdr:row>32</xdr:row>
      <xdr:rowOff>171449</xdr:rowOff>
    </xdr:from>
    <xdr:to>
      <xdr:col>25</xdr:col>
      <xdr:colOff>390525</xdr:colOff>
      <xdr:row>40</xdr:row>
      <xdr:rowOff>106499</xdr:rowOff>
    </xdr:to>
    <xdr:graphicFrame macro="">
      <xdr:nvGraphicFramePr>
        <xdr:cNvPr id="12" name="Diagramm 11">
          <a:extLst>
            <a:ext uri="{FF2B5EF4-FFF2-40B4-BE49-F238E27FC236}">
              <a16:creationId xmlns:a16="http://schemas.microsoft.com/office/drawing/2014/main" id="{9ABADE95-4DDF-CBD4-C584-7DE174EAF9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563880</xdr:colOff>
      <xdr:row>42</xdr:row>
      <xdr:rowOff>171450</xdr:rowOff>
    </xdr:from>
    <xdr:to>
      <xdr:col>17</xdr:col>
      <xdr:colOff>295080</xdr:colOff>
      <xdr:row>57</xdr:row>
      <xdr:rowOff>76200</xdr:rowOff>
    </xdr:to>
    <xdr:graphicFrame macro="">
      <xdr:nvGraphicFramePr>
        <xdr:cNvPr id="2" name="Diagramm 12">
          <a:extLst>
            <a:ext uri="{FF2B5EF4-FFF2-40B4-BE49-F238E27FC236}">
              <a16:creationId xmlns:a16="http://schemas.microsoft.com/office/drawing/2014/main" id="{07296B67-3A60-4CE6-2BC7-77AC7DE800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395393</xdr:colOff>
      <xdr:row>2</xdr:row>
      <xdr:rowOff>43814</xdr:rowOff>
    </xdr:from>
    <xdr:to>
      <xdr:col>19</xdr:col>
      <xdr:colOff>8467</xdr:colOff>
      <xdr:row>13</xdr:row>
      <xdr:rowOff>66252</xdr:rowOff>
    </xdr:to>
    <xdr:graphicFrame macro="">
      <xdr:nvGraphicFramePr>
        <xdr:cNvPr id="3" name="Diagramm 1">
          <a:extLst>
            <a:ext uri="{FF2B5EF4-FFF2-40B4-BE49-F238E27FC236}">
              <a16:creationId xmlns:a16="http://schemas.microsoft.com/office/drawing/2014/main" id="{2DA0011F-C3E4-4D11-A8CD-D4F6E5C3C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268605</xdr:colOff>
      <xdr:row>17</xdr:row>
      <xdr:rowOff>38947</xdr:rowOff>
    </xdr:from>
    <xdr:to>
      <xdr:col>21</xdr:col>
      <xdr:colOff>193673</xdr:colOff>
      <xdr:row>42</xdr:row>
      <xdr:rowOff>70484</xdr:rowOff>
    </xdr:to>
    <mc:AlternateContent xmlns:mc="http://schemas.openxmlformats.org/markup-compatibility/2006">
      <mc:Choice xmlns:cx1="http://schemas.microsoft.com/office/drawing/2015/9/8/chartex" Requires="cx1">
        <xdr:graphicFrame macro="">
          <xdr:nvGraphicFramePr>
            <xdr:cNvPr id="27" name="Diagramm 2">
              <a:extLst>
                <a:ext uri="{FF2B5EF4-FFF2-40B4-BE49-F238E27FC236}">
                  <a16:creationId xmlns:a16="http://schemas.microsoft.com/office/drawing/2014/main" id="{3081293A-BB6B-48CD-A466-1E54E3444D9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9164955" y="4125172"/>
              <a:ext cx="6659243" cy="5546512"/>
            </a:xfrm>
            <a:prstGeom prst="rect">
              <a:avLst/>
            </a:prstGeom>
            <a:solidFill>
              <a:prstClr val="white"/>
            </a:solidFill>
            <a:ln w="1">
              <a:solidFill>
                <a:prstClr val="green"/>
              </a:solidFill>
            </a:ln>
          </xdr:spPr>
          <xdr:txBody>
            <a:bodyPr vertOverflow="clip" horzOverflow="clip"/>
            <a:lstStyle/>
            <a:p>
              <a:r>
                <a:rPr lang="et-EE" sz="1100"/>
                <a:t>See diagramm pole teie Exceli versioonis saadaval.
Kui redigeerite seda kujundit või salvestate selle töövihiku mõnes muus failivormingus, rikute diagrammi jäädavalt.</a:t>
              </a:r>
            </a:p>
          </xdr:txBody>
        </xdr:sp>
      </mc:Fallback>
    </mc:AlternateContent>
    <xdr:clientData/>
  </xdr:twoCellAnchor>
</xdr:wsDr>
</file>

<file path=xl/theme/theme1.xml><?xml version="1.0" encoding="utf-8"?>
<a:theme xmlns:a="http://schemas.openxmlformats.org/drawingml/2006/main" name="Office Theme 2007 - 2010">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estliknaitus.ekm.ee/" TargetMode="External"/><Relationship Id="rId1" Type="http://schemas.openxmlformats.org/officeDocument/2006/relationships/hyperlink" Target="https://envir.ee/kliima/toetavad-materjalid/organisatsioonide-khg-jalajal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klab.ee/f-gaasid/f-gaaside-co%e2%82%82-ekvivalendi-kalkulaator/"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hyperlink" Target="https://kliimaministeerium.ee/organisatsioonide-khg-jalajalg"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infovaramu.ekuk.ee/f-gaasid-ja-osoon/f-gaasid/f-gaaside-kasutamine-eestis/" TargetMode="External"/><Relationship Id="rId1" Type="http://schemas.openxmlformats.org/officeDocument/2006/relationships/hyperlink" Target="https://kliimaministeerium.ee/organisatsioonide-khg-jalajalg"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1176-925E-4EC0-AA12-08EC2607545B}">
  <sheetPr>
    <tabColor rgb="FFF7E7D4"/>
    <pageSetUpPr fitToPage="1"/>
  </sheetPr>
  <dimension ref="A6:W16"/>
  <sheetViews>
    <sheetView showGridLines="0" tabSelected="1" zoomScale="90" zoomScaleNormal="90" workbookViewId="0">
      <pane xSplit="1" ySplit="7" topLeftCell="B8" activePane="bottomRight" state="frozen"/>
      <selection pane="topRight" activeCell="B1" sqref="B1"/>
      <selection pane="bottomLeft" activeCell="A8" sqref="A8"/>
      <selection pane="bottomRight" activeCell="Y15" sqref="Y15"/>
    </sheetView>
  </sheetViews>
  <sheetFormatPr defaultRowHeight="15" x14ac:dyDescent="0.25"/>
  <cols>
    <col min="1" max="1" width="2.5703125" customWidth="1"/>
    <col min="2" max="3" width="9.28515625" customWidth="1"/>
    <col min="4" max="10" width="9.28515625" style="3"/>
  </cols>
  <sheetData>
    <row r="6" spans="1:23" ht="18.75" x14ac:dyDescent="0.3">
      <c r="B6" s="25"/>
    </row>
    <row r="7" spans="1:23" ht="23.25" x14ac:dyDescent="0.35">
      <c r="B7" s="99" t="s">
        <v>344</v>
      </c>
    </row>
    <row r="8" spans="1:23" x14ac:dyDescent="0.25">
      <c r="B8" s="22"/>
    </row>
    <row r="9" spans="1:23" x14ac:dyDescent="0.25">
      <c r="B9" s="559" t="s">
        <v>0</v>
      </c>
      <c r="C9" s="560"/>
      <c r="D9" s="560"/>
      <c r="E9" s="560"/>
      <c r="F9" s="560"/>
      <c r="G9" s="560"/>
      <c r="H9" s="560"/>
      <c r="I9" s="560"/>
      <c r="J9" s="560"/>
      <c r="K9" s="560"/>
      <c r="L9" s="560"/>
      <c r="M9" s="560"/>
      <c r="N9" s="115"/>
      <c r="O9" s="115"/>
      <c r="P9" s="115"/>
      <c r="Q9" s="115"/>
      <c r="R9" s="115"/>
      <c r="S9" s="115"/>
      <c r="T9" s="115"/>
      <c r="U9" s="115"/>
      <c r="V9" s="115"/>
      <c r="W9" s="115"/>
    </row>
    <row r="10" spans="1:23" ht="153" customHeight="1" x14ac:dyDescent="0.25">
      <c r="A10" s="5"/>
      <c r="B10" s="561" t="s">
        <v>379</v>
      </c>
      <c r="C10" s="562"/>
      <c r="D10" s="562"/>
      <c r="E10" s="562"/>
      <c r="F10" s="562"/>
      <c r="G10" s="562"/>
      <c r="H10" s="562"/>
      <c r="I10" s="562"/>
      <c r="J10" s="562"/>
      <c r="K10" s="562"/>
      <c r="L10" s="562"/>
      <c r="M10" s="563"/>
    </row>
    <row r="12" spans="1:23" x14ac:dyDescent="0.25">
      <c r="B12" s="559" t="s">
        <v>1</v>
      </c>
      <c r="C12" s="560"/>
      <c r="D12" s="560"/>
      <c r="E12" s="560"/>
      <c r="F12" s="560"/>
      <c r="G12" s="560"/>
      <c r="H12" s="560"/>
      <c r="I12" s="560"/>
      <c r="J12" s="560"/>
      <c r="K12" s="560"/>
      <c r="L12" s="560"/>
      <c r="M12" s="560"/>
    </row>
    <row r="13" spans="1:23" ht="48" customHeight="1" x14ac:dyDescent="0.25">
      <c r="B13" s="564" t="s">
        <v>345</v>
      </c>
      <c r="C13" s="565"/>
      <c r="D13" s="565"/>
      <c r="E13" s="565"/>
      <c r="F13" s="565"/>
      <c r="G13" s="565"/>
      <c r="H13" s="565"/>
      <c r="I13" s="565"/>
      <c r="J13" s="565"/>
      <c r="K13" s="565"/>
      <c r="L13" s="565"/>
      <c r="M13" s="566"/>
    </row>
    <row r="14" spans="1:23" ht="320.25" customHeight="1" x14ac:dyDescent="0.25">
      <c r="B14" s="567" t="s">
        <v>452</v>
      </c>
      <c r="C14" s="568"/>
      <c r="D14" s="568"/>
      <c r="E14" s="568"/>
      <c r="F14" s="568"/>
      <c r="G14" s="568"/>
      <c r="H14" s="568"/>
      <c r="I14" s="568"/>
      <c r="J14" s="568"/>
      <c r="K14" s="568"/>
      <c r="L14" s="568"/>
      <c r="M14" s="569"/>
    </row>
    <row r="15" spans="1:23" ht="348" customHeight="1" x14ac:dyDescent="0.25">
      <c r="B15" s="556" t="s">
        <v>523</v>
      </c>
      <c r="C15" s="557"/>
      <c r="D15" s="557"/>
      <c r="E15" s="557"/>
      <c r="F15" s="557"/>
      <c r="G15" s="557"/>
      <c r="H15" s="557"/>
      <c r="I15" s="557"/>
      <c r="J15" s="557"/>
      <c r="K15" s="557"/>
      <c r="L15" s="557"/>
      <c r="M15" s="558"/>
      <c r="N15" s="171"/>
    </row>
    <row r="16" spans="1:23" ht="15" customHeight="1" x14ac:dyDescent="0.25">
      <c r="B16" s="158"/>
      <c r="C16" s="158"/>
      <c r="D16" s="158"/>
      <c r="E16" s="158"/>
      <c r="F16" s="158"/>
      <c r="G16" s="158"/>
      <c r="H16" s="158"/>
      <c r="I16" s="158"/>
      <c r="J16" s="158"/>
    </row>
  </sheetData>
  <mergeCells count="6">
    <mergeCell ref="B15:M15"/>
    <mergeCell ref="B9:M9"/>
    <mergeCell ref="B10:M10"/>
    <mergeCell ref="B12:M12"/>
    <mergeCell ref="B13:M13"/>
    <mergeCell ref="B14:M14"/>
  </mergeCells>
  <hyperlinks>
    <hyperlink ref="B15:K15" r:id="rId1" display="https://envir.ee/kliima/toetavad-materjalid/organisatsioonide-khg-jalajalg" xr:uid="{5E628888-82CB-403B-9BFC-1D04CF350D4F}"/>
    <hyperlink ref="B10:M10" r:id="rId2" display="Käesolev mudel pakub raamistiku muuseumidele oma keskkonnajalajälje, sh kasvuhoonegaaside (KHG) jalajälje arvutamiseks ja seiramiseks. Mudel on eelkõige mõeldud hoone ja seotud olulisemate keskkonnaaspektide/-mõjude (energiakasutus, veetarbimine, paberikasutus, jäätmeteke) mõõtmiseks ja aastapõhiseks KHG jalajälje hindamiseks. Sellisel kujul on arvutusmudel keskkonnajalajälje hindamise abivahendiks rohelise muuseumi süsteemi rakendanud muuseumidele ning pakub aluse keskkonnaeesmärkide püstitamiseks ja oma keskkonnategevuse tulemuslikkuse järjepidevaks mõõtmiseks/hindamiseks. Lisaks saavad muuseumid oma näituste jm seotud teenuste (nt trükised) ja muu materjalikasutuse osas hinnata jalajälge Kumu/EKM poolt tellitud mudeliga (https://kestliknaitus.ekm.ee/) Need kaks siis täiendaksid teineteist." xr:uid="{A2AF2876-539F-4560-A31F-D88B2B720148}"/>
  </hyperlinks>
  <pageMargins left="0.70866141732283472" right="0.70866141732283472" top="0.74803149606299213" bottom="0.74803149606299213" header="0.31496062992125984" footer="0.31496062992125984"/>
  <pageSetup paperSize="9" scale="77" fitToHeight="3"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2A1C-94DE-4C21-81D0-2D7FDCF63A0F}">
  <sheetPr>
    <tabColor rgb="FFFB8604"/>
    <pageSetUpPr fitToPage="1"/>
  </sheetPr>
  <dimension ref="A1:S140"/>
  <sheetViews>
    <sheetView showGridLines="0" zoomScaleNormal="100" workbookViewId="0">
      <pane xSplit="1" ySplit="1" topLeftCell="B2" activePane="bottomRight" state="frozen"/>
      <selection pane="topRight" activeCell="B1" sqref="B1"/>
      <selection pane="bottomLeft" activeCell="A3" sqref="A3"/>
      <selection pane="bottomRight" activeCell="L9" sqref="L9"/>
    </sheetView>
  </sheetViews>
  <sheetFormatPr defaultRowHeight="14.65" customHeight="1" x14ac:dyDescent="0.25"/>
  <cols>
    <col min="1" max="1" width="2.5703125" customWidth="1"/>
    <col min="2" max="2" width="7.5703125" customWidth="1"/>
    <col min="3" max="3" width="31.42578125" style="3" customWidth="1"/>
    <col min="4" max="4" width="18.5703125" style="68" customWidth="1"/>
    <col min="5" max="5" width="15.7109375" customWidth="1"/>
    <col min="6" max="6" width="15.7109375" style="3" customWidth="1"/>
  </cols>
  <sheetData>
    <row r="1" spans="1:19" ht="18.600000000000001" customHeight="1" x14ac:dyDescent="0.35">
      <c r="B1" s="28" t="s">
        <v>95</v>
      </c>
      <c r="C1" s="78"/>
    </row>
    <row r="2" spans="1:19" ht="14.65" customHeight="1" x14ac:dyDescent="0.3">
      <c r="B2" s="22"/>
      <c r="C2" s="79"/>
    </row>
    <row r="3" spans="1:19" ht="109.5" customHeight="1" x14ac:dyDescent="0.25">
      <c r="B3" s="656" t="s">
        <v>525</v>
      </c>
      <c r="C3" s="657"/>
      <c r="D3" s="657"/>
      <c r="E3" s="657"/>
      <c r="F3" s="657"/>
      <c r="G3" s="657"/>
      <c r="H3" s="657"/>
      <c r="I3" s="657"/>
      <c r="J3" s="657"/>
      <c r="K3" s="658"/>
    </row>
    <row r="4" spans="1:19" ht="14.65" customHeight="1" x14ac:dyDescent="0.25">
      <c r="B4" s="165"/>
    </row>
    <row r="5" spans="1:19" ht="14.65" customHeight="1" x14ac:dyDescent="0.25">
      <c r="B5" s="60" t="s">
        <v>2</v>
      </c>
      <c r="C5" s="80"/>
    </row>
    <row r="6" spans="1:19" ht="14.65" customHeight="1" x14ac:dyDescent="0.25">
      <c r="A6" s="1"/>
      <c r="C6" s="356" t="s">
        <v>31</v>
      </c>
      <c r="D6" s="30"/>
      <c r="E6" s="30"/>
      <c r="G6" s="3"/>
      <c r="H6" s="3"/>
      <c r="I6" s="3"/>
      <c r="J6" s="3"/>
      <c r="K6" s="3"/>
      <c r="L6" s="3"/>
      <c r="M6" s="3"/>
      <c r="N6" s="3"/>
      <c r="O6" s="3"/>
      <c r="P6" s="55"/>
      <c r="S6" s="66"/>
    </row>
    <row r="7" spans="1:19" ht="14.65" customHeight="1" x14ac:dyDescent="0.25">
      <c r="C7" s="377" t="s">
        <v>3</v>
      </c>
    </row>
    <row r="8" spans="1:19" ht="14.65" customHeight="1" x14ac:dyDescent="0.25">
      <c r="A8" s="1"/>
      <c r="B8" s="3"/>
      <c r="C8" s="339" t="s">
        <v>4</v>
      </c>
      <c r="D8" s="24"/>
      <c r="E8" s="3"/>
      <c r="G8" s="24"/>
      <c r="H8" s="24"/>
      <c r="I8" s="24"/>
      <c r="J8" s="24"/>
      <c r="K8" s="24"/>
      <c r="L8" s="24"/>
      <c r="M8" s="24"/>
      <c r="N8" s="24"/>
      <c r="O8" s="24"/>
      <c r="P8" s="57"/>
      <c r="Q8" s="18"/>
    </row>
    <row r="9" spans="1:19" ht="14.65" customHeight="1" thickBot="1" x14ac:dyDescent="0.3"/>
    <row r="10" spans="1:19" ht="14.65" customHeight="1" x14ac:dyDescent="0.25">
      <c r="B10" s="603" t="s">
        <v>9</v>
      </c>
      <c r="C10" s="603" t="s">
        <v>10</v>
      </c>
      <c r="D10" s="650" t="s">
        <v>96</v>
      </c>
      <c r="E10" s="653" t="s">
        <v>97</v>
      </c>
      <c r="F10" s="623" t="s">
        <v>88</v>
      </c>
    </row>
    <row r="11" spans="1:19" ht="14.65" customHeight="1" x14ac:dyDescent="0.25">
      <c r="B11" s="604"/>
      <c r="C11" s="604"/>
      <c r="D11" s="651"/>
      <c r="E11" s="654"/>
      <c r="F11" s="624"/>
    </row>
    <row r="12" spans="1:19" ht="14.65" customHeight="1" x14ac:dyDescent="0.25">
      <c r="B12" s="604"/>
      <c r="C12" s="604"/>
      <c r="D12" s="651"/>
      <c r="E12" s="654"/>
      <c r="F12" s="624"/>
    </row>
    <row r="13" spans="1:19" ht="14.65" customHeight="1" thickBot="1" x14ac:dyDescent="0.3">
      <c r="B13" s="605"/>
      <c r="C13" s="605"/>
      <c r="D13" s="652"/>
      <c r="E13" s="655"/>
      <c r="F13" s="649"/>
    </row>
    <row r="14" spans="1:19" ht="14.65" customHeight="1" x14ac:dyDescent="0.25">
      <c r="B14" s="128">
        <f>ÜLDANDMED!C10</f>
        <v>2022</v>
      </c>
      <c r="C14" s="181" t="s">
        <v>98</v>
      </c>
      <c r="D14" s="164"/>
      <c r="E14" s="192"/>
      <c r="F14" s="243"/>
    </row>
    <row r="15" spans="1:19" ht="14.65" customHeight="1" x14ac:dyDescent="0.25">
      <c r="B15" s="77"/>
      <c r="C15" s="398"/>
      <c r="D15" s="401"/>
      <c r="E15" s="407" t="e">
        <f>LOOKUP(C15,'KHG eriheitetegurid'!$B$147:$B$157,'KHG eriheitetegurid'!$D$147:$D$157)</f>
        <v>#N/A</v>
      </c>
      <c r="F15" s="408" t="str">
        <f>_xlfn.IFNA(D15*E15/1000,"")</f>
        <v/>
      </c>
      <c r="G15" s="93"/>
    </row>
    <row r="16" spans="1:19" ht="14.65" customHeight="1" x14ac:dyDescent="0.25">
      <c r="B16" s="77"/>
      <c r="C16" s="398"/>
      <c r="D16" s="401"/>
      <c r="E16" s="407" t="e">
        <f>LOOKUP(C16,'KHG eriheitetegurid'!$B$147:$B$157,'KHG eriheitetegurid'!$D$147:$D$157)</f>
        <v>#N/A</v>
      </c>
      <c r="F16" s="408" t="str">
        <f t="shared" ref="F16:F114" si="0">_xlfn.IFNA(D16*E16/1000,"")</f>
        <v/>
      </c>
    </row>
    <row r="17" spans="2:6" ht="14.65" customHeight="1" x14ac:dyDescent="0.25">
      <c r="B17" s="77"/>
      <c r="C17" s="398"/>
      <c r="D17" s="401"/>
      <c r="E17" s="407" t="e">
        <f>LOOKUP(C17,'KHG eriheitetegurid'!$B$147:$B$157,'KHG eriheitetegurid'!$D$147:$D$157)</f>
        <v>#N/A</v>
      </c>
      <c r="F17" s="408" t="str">
        <f t="shared" si="0"/>
        <v/>
      </c>
    </row>
    <row r="18" spans="2:6" ht="14.65" customHeight="1" x14ac:dyDescent="0.25">
      <c r="B18" s="77"/>
      <c r="C18" s="398"/>
      <c r="D18" s="401"/>
      <c r="E18" s="407" t="e">
        <f>LOOKUP(C18,'KHG eriheitetegurid'!$B$147:$B$157,'KHG eriheitetegurid'!$D$147:$D$157)</f>
        <v>#N/A</v>
      </c>
      <c r="F18" s="408" t="str">
        <f t="shared" si="0"/>
        <v/>
      </c>
    </row>
    <row r="19" spans="2:6" ht="14.65" customHeight="1" x14ac:dyDescent="0.25">
      <c r="B19" s="77"/>
      <c r="C19" s="398"/>
      <c r="D19" s="401"/>
      <c r="E19" s="407" t="e">
        <f>LOOKUP(C19,'KHG eriheitetegurid'!$B$147:$B$157,'KHG eriheitetegurid'!$D$147:$D$157)</f>
        <v>#N/A</v>
      </c>
      <c r="F19" s="408" t="str">
        <f t="shared" si="0"/>
        <v/>
      </c>
    </row>
    <row r="20" spans="2:6" ht="14.65" customHeight="1" x14ac:dyDescent="0.25">
      <c r="B20" s="77"/>
      <c r="C20" s="398"/>
      <c r="D20" s="401"/>
      <c r="E20" s="407" t="e">
        <f>LOOKUP(C20,'KHG eriheitetegurid'!$B$147:$B$157,'KHG eriheitetegurid'!$D$147:$D$157)</f>
        <v>#N/A</v>
      </c>
      <c r="F20" s="408" t="str">
        <f t="shared" si="0"/>
        <v/>
      </c>
    </row>
    <row r="21" spans="2:6" ht="14.65" customHeight="1" x14ac:dyDescent="0.25">
      <c r="B21" s="77"/>
      <c r="C21" s="398"/>
      <c r="D21" s="401"/>
      <c r="E21" s="407" t="e">
        <f>LOOKUP(C21,'KHG eriheitetegurid'!$B$147:$B$157,'KHG eriheitetegurid'!$D$147:$D$157)</f>
        <v>#N/A</v>
      </c>
      <c r="F21" s="408" t="str">
        <f t="shared" si="0"/>
        <v/>
      </c>
    </row>
    <row r="22" spans="2:6" ht="14.65" customHeight="1" x14ac:dyDescent="0.25">
      <c r="B22" s="77"/>
      <c r="C22" s="398"/>
      <c r="D22" s="401"/>
      <c r="E22" s="407" t="e">
        <f>LOOKUP(C22,'KHG eriheitetegurid'!$B$147:$B$157,'KHG eriheitetegurid'!$D$147:$D$157)</f>
        <v>#N/A</v>
      </c>
      <c r="F22" s="408" t="str">
        <f t="shared" si="0"/>
        <v/>
      </c>
    </row>
    <row r="23" spans="2:6" ht="14.65" customHeight="1" x14ac:dyDescent="0.25">
      <c r="B23" s="77"/>
      <c r="C23" s="398"/>
      <c r="D23" s="401"/>
      <c r="E23" s="407" t="e">
        <f>LOOKUP(C23,'KHG eriheitetegurid'!$B$147:$B$157,'KHG eriheitetegurid'!$D$147:$D$157)</f>
        <v>#N/A</v>
      </c>
      <c r="F23" s="408" t="str">
        <f t="shared" si="0"/>
        <v/>
      </c>
    </row>
    <row r="24" spans="2:6" ht="14.65" customHeight="1" x14ac:dyDescent="0.25">
      <c r="B24" s="77"/>
      <c r="C24" s="398"/>
      <c r="D24" s="401"/>
      <c r="E24" s="407" t="e">
        <f>LOOKUP(C24,'KHG eriheitetegurid'!$B$147:$B$157,'KHG eriheitetegurid'!$D$147:$D$157)</f>
        <v>#N/A</v>
      </c>
      <c r="F24" s="408" t="str">
        <f t="shared" si="0"/>
        <v/>
      </c>
    </row>
    <row r="25" spans="2:6" ht="14.65" customHeight="1" thickBot="1" x14ac:dyDescent="0.3">
      <c r="B25" s="77"/>
      <c r="C25" s="399"/>
      <c r="D25" s="402"/>
      <c r="E25" s="409" t="e">
        <f>LOOKUP(C25,'KHG eriheitetegurid'!$B$147:$B$157,'KHG eriheitetegurid'!$D$147:$D$157)</f>
        <v>#N/A</v>
      </c>
      <c r="F25" s="413" t="str">
        <f t="shared" si="0"/>
        <v/>
      </c>
    </row>
    <row r="26" spans="2:6" ht="14.65" customHeight="1" thickBot="1" x14ac:dyDescent="0.3">
      <c r="B26" s="91"/>
      <c r="C26" s="222" t="s">
        <v>99</v>
      </c>
      <c r="D26" s="241"/>
      <c r="E26" s="242"/>
      <c r="F26" s="406">
        <f>SUM(F15:F25)</f>
        <v>0</v>
      </c>
    </row>
    <row r="27" spans="2:6" ht="14.65" customHeight="1" x14ac:dyDescent="0.25">
      <c r="C27"/>
      <c r="D27"/>
      <c r="F27"/>
    </row>
    <row r="28" spans="2:6" ht="14.65" customHeight="1" thickBot="1" x14ac:dyDescent="0.3">
      <c r="C28"/>
      <c r="D28"/>
      <c r="F28"/>
    </row>
    <row r="29" spans="2:6" ht="14.65" customHeight="1" x14ac:dyDescent="0.25">
      <c r="B29" s="603" t="s">
        <v>9</v>
      </c>
      <c r="C29" s="603" t="s">
        <v>10</v>
      </c>
      <c r="D29" s="650" t="s">
        <v>96</v>
      </c>
      <c r="E29" s="653" t="s">
        <v>97</v>
      </c>
      <c r="F29" s="623" t="s">
        <v>88</v>
      </c>
    </row>
    <row r="30" spans="2:6" ht="14.65" customHeight="1" x14ac:dyDescent="0.25">
      <c r="B30" s="604"/>
      <c r="C30" s="604"/>
      <c r="D30" s="651"/>
      <c r="E30" s="654"/>
      <c r="F30" s="624"/>
    </row>
    <row r="31" spans="2:6" ht="14.65" customHeight="1" x14ac:dyDescent="0.25">
      <c r="B31" s="604"/>
      <c r="C31" s="604"/>
      <c r="D31" s="651"/>
      <c r="E31" s="654"/>
      <c r="F31" s="624"/>
    </row>
    <row r="32" spans="2:6" ht="14.65" customHeight="1" thickBot="1" x14ac:dyDescent="0.3">
      <c r="B32" s="605"/>
      <c r="C32" s="605"/>
      <c r="D32" s="652"/>
      <c r="E32" s="655"/>
      <c r="F32" s="649"/>
    </row>
    <row r="33" spans="2:6" ht="14.65" customHeight="1" x14ac:dyDescent="0.25">
      <c r="B33" s="128">
        <f>ÜLDANDMED!D10</f>
        <v>2023</v>
      </c>
      <c r="C33" s="76" t="s">
        <v>98</v>
      </c>
      <c r="D33" s="164"/>
      <c r="E33" s="192"/>
      <c r="F33" s="243"/>
    </row>
    <row r="34" spans="2:6" ht="14.65" customHeight="1" x14ac:dyDescent="0.25">
      <c r="B34" s="77"/>
      <c r="C34" s="398"/>
      <c r="D34" s="401"/>
      <c r="E34" s="407" t="e">
        <f>LOOKUP(C34,'KHG eriheitetegurid'!$B$147:$B$157,'KHG eriheitetegurid'!$D$147:$D$157)</f>
        <v>#N/A</v>
      </c>
      <c r="F34" s="408" t="str">
        <f t="shared" si="0"/>
        <v/>
      </c>
    </row>
    <row r="35" spans="2:6" ht="14.65" customHeight="1" x14ac:dyDescent="0.25">
      <c r="B35" s="77"/>
      <c r="C35" s="398"/>
      <c r="D35" s="401"/>
      <c r="E35" s="407" t="e">
        <f>LOOKUP(C35,'KHG eriheitetegurid'!$B$147:$B$157,'KHG eriheitetegurid'!$D$147:$D$157)</f>
        <v>#N/A</v>
      </c>
      <c r="F35" s="408" t="str">
        <f t="shared" si="0"/>
        <v/>
      </c>
    </row>
    <row r="36" spans="2:6" ht="14.65" customHeight="1" x14ac:dyDescent="0.25">
      <c r="B36" s="77"/>
      <c r="C36" s="398"/>
      <c r="D36" s="401"/>
      <c r="E36" s="407" t="e">
        <f>LOOKUP(C36,'KHG eriheitetegurid'!$B$147:$B$157,'KHG eriheitetegurid'!$D$147:$D$157)</f>
        <v>#N/A</v>
      </c>
      <c r="F36" s="408" t="str">
        <f t="shared" si="0"/>
        <v/>
      </c>
    </row>
    <row r="37" spans="2:6" ht="14.65" customHeight="1" x14ac:dyDescent="0.25">
      <c r="B37" s="77"/>
      <c r="C37" s="398"/>
      <c r="D37" s="401"/>
      <c r="E37" s="407" t="e">
        <f>LOOKUP(C37,'KHG eriheitetegurid'!$B$147:$B$157,'KHG eriheitetegurid'!$D$147:$D$157)</f>
        <v>#N/A</v>
      </c>
      <c r="F37" s="408" t="str">
        <f t="shared" si="0"/>
        <v/>
      </c>
    </row>
    <row r="38" spans="2:6" ht="14.65" customHeight="1" x14ac:dyDescent="0.25">
      <c r="B38" s="77"/>
      <c r="C38" s="398"/>
      <c r="D38" s="401"/>
      <c r="E38" s="407" t="e">
        <f>LOOKUP(C38,'KHG eriheitetegurid'!$B$147:$B$157,'KHG eriheitetegurid'!$D$147:$D$157)</f>
        <v>#N/A</v>
      </c>
      <c r="F38" s="408" t="str">
        <f t="shared" si="0"/>
        <v/>
      </c>
    </row>
    <row r="39" spans="2:6" ht="14.65" customHeight="1" x14ac:dyDescent="0.25">
      <c r="B39" s="77"/>
      <c r="C39" s="398"/>
      <c r="D39" s="401"/>
      <c r="E39" s="407" t="e">
        <f>LOOKUP(C39,'KHG eriheitetegurid'!$B$147:$B$157,'KHG eriheitetegurid'!$D$147:$D$157)</f>
        <v>#N/A</v>
      </c>
      <c r="F39" s="408" t="str">
        <f t="shared" si="0"/>
        <v/>
      </c>
    </row>
    <row r="40" spans="2:6" ht="14.65" customHeight="1" x14ac:dyDescent="0.25">
      <c r="B40" s="77"/>
      <c r="C40" s="398"/>
      <c r="D40" s="401"/>
      <c r="E40" s="407" t="e">
        <f>LOOKUP(C40,'KHG eriheitetegurid'!$B$147:$B$157,'KHG eriheitetegurid'!$D$147:$D$157)</f>
        <v>#N/A</v>
      </c>
      <c r="F40" s="408" t="str">
        <f t="shared" si="0"/>
        <v/>
      </c>
    </row>
    <row r="41" spans="2:6" ht="14.65" customHeight="1" x14ac:dyDescent="0.25">
      <c r="B41" s="77"/>
      <c r="C41" s="398"/>
      <c r="D41" s="401"/>
      <c r="E41" s="407" t="e">
        <f>LOOKUP(C41,'KHG eriheitetegurid'!$B$147:$B$157,'KHG eriheitetegurid'!$D$147:$D$157)</f>
        <v>#N/A</v>
      </c>
      <c r="F41" s="408" t="str">
        <f t="shared" si="0"/>
        <v/>
      </c>
    </row>
    <row r="42" spans="2:6" ht="14.65" customHeight="1" x14ac:dyDescent="0.25">
      <c r="B42" s="77"/>
      <c r="C42" s="398"/>
      <c r="D42" s="401"/>
      <c r="E42" s="407" t="e">
        <f>LOOKUP(C42,'KHG eriheitetegurid'!$B$147:$B$157,'KHG eriheitetegurid'!$D$147:$D$157)</f>
        <v>#N/A</v>
      </c>
      <c r="F42" s="408" t="str">
        <f t="shared" si="0"/>
        <v/>
      </c>
    </row>
    <row r="43" spans="2:6" ht="14.65" customHeight="1" x14ac:dyDescent="0.25">
      <c r="B43" s="77"/>
      <c r="C43" s="398"/>
      <c r="D43" s="401"/>
      <c r="E43" s="407" t="e">
        <f>LOOKUP(C43,'KHG eriheitetegurid'!$B$147:$B$157,'KHG eriheitetegurid'!$D$147:$D$157)</f>
        <v>#N/A</v>
      </c>
      <c r="F43" s="408" t="str">
        <f t="shared" si="0"/>
        <v/>
      </c>
    </row>
    <row r="44" spans="2:6" ht="14.65" customHeight="1" thickBot="1" x14ac:dyDescent="0.3">
      <c r="B44" s="91"/>
      <c r="C44" s="400"/>
      <c r="D44" s="401"/>
      <c r="E44" s="409" t="e">
        <f>LOOKUP(C44,'KHG eriheitetegurid'!$B$147:$B$157,'KHG eriheitetegurid'!$D$147:$D$157)</f>
        <v>#N/A</v>
      </c>
      <c r="F44" s="408" t="str">
        <f t="shared" si="0"/>
        <v/>
      </c>
    </row>
    <row r="45" spans="2:6" ht="14.65" customHeight="1" thickBot="1" x14ac:dyDescent="0.3">
      <c r="B45" s="91"/>
      <c r="C45" s="222" t="s">
        <v>99</v>
      </c>
      <c r="D45" s="241"/>
      <c r="E45" s="242"/>
      <c r="F45" s="406">
        <f>SUM(F34:F44)</f>
        <v>0</v>
      </c>
    </row>
    <row r="46" spans="2:6" ht="14.65" customHeight="1" x14ac:dyDescent="0.25">
      <c r="C46"/>
      <c r="D46"/>
      <c r="F46"/>
    </row>
    <row r="47" spans="2:6" ht="14.65" customHeight="1" thickBot="1" x14ac:dyDescent="0.3">
      <c r="C47"/>
      <c r="D47"/>
      <c r="F47"/>
    </row>
    <row r="48" spans="2:6" ht="14.65" customHeight="1" x14ac:dyDescent="0.25">
      <c r="B48" s="603" t="s">
        <v>9</v>
      </c>
      <c r="C48" s="603" t="s">
        <v>10</v>
      </c>
      <c r="D48" s="650" t="s">
        <v>96</v>
      </c>
      <c r="E48" s="653" t="s">
        <v>97</v>
      </c>
      <c r="F48" s="623" t="s">
        <v>88</v>
      </c>
    </row>
    <row r="49" spans="2:6" ht="14.65" customHeight="1" x14ac:dyDescent="0.25">
      <c r="B49" s="604"/>
      <c r="C49" s="604"/>
      <c r="D49" s="651"/>
      <c r="E49" s="654"/>
      <c r="F49" s="624"/>
    </row>
    <row r="50" spans="2:6" ht="14.65" customHeight="1" x14ac:dyDescent="0.25">
      <c r="B50" s="604"/>
      <c r="C50" s="604"/>
      <c r="D50" s="651"/>
      <c r="E50" s="654"/>
      <c r="F50" s="624"/>
    </row>
    <row r="51" spans="2:6" ht="14.65" customHeight="1" thickBot="1" x14ac:dyDescent="0.3">
      <c r="B51" s="605"/>
      <c r="C51" s="605"/>
      <c r="D51" s="652"/>
      <c r="E51" s="655"/>
      <c r="F51" s="649"/>
    </row>
    <row r="52" spans="2:6" ht="14.65" customHeight="1" x14ac:dyDescent="0.25">
      <c r="B52" s="89">
        <f>ÜLDANDMED!E10</f>
        <v>2024</v>
      </c>
      <c r="C52" s="76" t="s">
        <v>98</v>
      </c>
      <c r="D52" s="164"/>
      <c r="E52" s="192"/>
      <c r="F52" s="243"/>
    </row>
    <row r="53" spans="2:6" ht="14.65" customHeight="1" x14ac:dyDescent="0.25">
      <c r="B53" s="77"/>
      <c r="C53" s="398"/>
      <c r="D53" s="401"/>
      <c r="E53" s="407" t="e">
        <f>LOOKUP(C53,'KHG eriheitetegurid'!$B$147:$B$157,'KHG eriheitetegurid'!$D$147:$D$157)</f>
        <v>#N/A</v>
      </c>
      <c r="F53" s="408" t="str">
        <f t="shared" si="0"/>
        <v/>
      </c>
    </row>
    <row r="54" spans="2:6" ht="14.65" customHeight="1" x14ac:dyDescent="0.25">
      <c r="B54" s="77"/>
      <c r="C54" s="398"/>
      <c r="D54" s="401"/>
      <c r="E54" s="407" t="e">
        <f>LOOKUP(C54,'KHG eriheitetegurid'!$B$147:$B$157,'KHG eriheitetegurid'!$D$147:$D$157)</f>
        <v>#N/A</v>
      </c>
      <c r="F54" s="408" t="str">
        <f t="shared" si="0"/>
        <v/>
      </c>
    </row>
    <row r="55" spans="2:6" ht="14.65" customHeight="1" x14ac:dyDescent="0.25">
      <c r="B55" s="77"/>
      <c r="C55" s="398"/>
      <c r="D55" s="401"/>
      <c r="E55" s="407" t="e">
        <f>LOOKUP(C55,'KHG eriheitetegurid'!$B$147:$B$157,'KHG eriheitetegurid'!$D$147:$D$157)</f>
        <v>#N/A</v>
      </c>
      <c r="F55" s="408" t="str">
        <f t="shared" si="0"/>
        <v/>
      </c>
    </row>
    <row r="56" spans="2:6" ht="14.65" customHeight="1" x14ac:dyDescent="0.25">
      <c r="B56" s="77"/>
      <c r="C56" s="398"/>
      <c r="D56" s="401"/>
      <c r="E56" s="407" t="e">
        <f>LOOKUP(C56,'KHG eriheitetegurid'!$B$147:$B$157,'KHG eriheitetegurid'!$D$147:$D$157)</f>
        <v>#N/A</v>
      </c>
      <c r="F56" s="408" t="str">
        <f t="shared" si="0"/>
        <v/>
      </c>
    </row>
    <row r="57" spans="2:6" ht="14.65" customHeight="1" x14ac:dyDescent="0.25">
      <c r="B57" s="77"/>
      <c r="C57" s="398"/>
      <c r="D57" s="401"/>
      <c r="E57" s="407" t="e">
        <f>LOOKUP(C57,'KHG eriheitetegurid'!$B$147:$B$157,'KHG eriheitetegurid'!$D$147:$D$157)</f>
        <v>#N/A</v>
      </c>
      <c r="F57" s="408" t="str">
        <f t="shared" si="0"/>
        <v/>
      </c>
    </row>
    <row r="58" spans="2:6" ht="14.65" customHeight="1" x14ac:dyDescent="0.25">
      <c r="B58" s="77"/>
      <c r="C58" s="398"/>
      <c r="D58" s="401"/>
      <c r="E58" s="407" t="e">
        <f>LOOKUP(C58,'KHG eriheitetegurid'!$B$147:$B$157,'KHG eriheitetegurid'!$D$147:$D$157)</f>
        <v>#N/A</v>
      </c>
      <c r="F58" s="408" t="str">
        <f t="shared" si="0"/>
        <v/>
      </c>
    </row>
    <row r="59" spans="2:6" ht="14.65" customHeight="1" x14ac:dyDescent="0.25">
      <c r="B59" s="77"/>
      <c r="C59" s="398"/>
      <c r="D59" s="401"/>
      <c r="E59" s="407" t="e">
        <f>LOOKUP(C59,'KHG eriheitetegurid'!$B$147:$B$157,'KHG eriheitetegurid'!$D$147:$D$157)</f>
        <v>#N/A</v>
      </c>
      <c r="F59" s="408" t="str">
        <f t="shared" si="0"/>
        <v/>
      </c>
    </row>
    <row r="60" spans="2:6" ht="14.65" customHeight="1" x14ac:dyDescent="0.25">
      <c r="B60" s="77"/>
      <c r="C60" s="398"/>
      <c r="D60" s="401"/>
      <c r="E60" s="407" t="e">
        <f>LOOKUP(C60,'KHG eriheitetegurid'!$B$147:$B$157,'KHG eriheitetegurid'!$D$147:$D$157)</f>
        <v>#N/A</v>
      </c>
      <c r="F60" s="408" t="str">
        <f t="shared" si="0"/>
        <v/>
      </c>
    </row>
    <row r="61" spans="2:6" ht="14.65" customHeight="1" x14ac:dyDescent="0.25">
      <c r="B61" s="77"/>
      <c r="C61" s="398"/>
      <c r="D61" s="401"/>
      <c r="E61" s="407" t="e">
        <f>LOOKUP(C61,'KHG eriheitetegurid'!$B$147:$B$157,'KHG eriheitetegurid'!$D$147:$D$157)</f>
        <v>#N/A</v>
      </c>
      <c r="F61" s="408" t="str">
        <f t="shared" si="0"/>
        <v/>
      </c>
    </row>
    <row r="62" spans="2:6" ht="14.65" customHeight="1" x14ac:dyDescent="0.25">
      <c r="B62" s="77"/>
      <c r="C62" s="398"/>
      <c r="D62" s="401"/>
      <c r="E62" s="407" t="e">
        <f>LOOKUP(C62,'KHG eriheitetegurid'!$B$147:$B$157,'KHG eriheitetegurid'!$D$147:$D$157)</f>
        <v>#N/A</v>
      </c>
      <c r="F62" s="408" t="str">
        <f t="shared" si="0"/>
        <v/>
      </c>
    </row>
    <row r="63" spans="2:6" ht="14.65" customHeight="1" thickBot="1" x14ac:dyDescent="0.3">
      <c r="B63" s="91"/>
      <c r="C63" s="400"/>
      <c r="D63" s="401"/>
      <c r="E63" s="407" t="e">
        <f>LOOKUP(C63,'KHG eriheitetegurid'!$B$147:$B$157,'KHG eriheitetegurid'!$D$147:$D$157)</f>
        <v>#N/A</v>
      </c>
      <c r="F63" s="408" t="str">
        <f t="shared" si="0"/>
        <v/>
      </c>
    </row>
    <row r="64" spans="2:6" ht="14.65" customHeight="1" thickBot="1" x14ac:dyDescent="0.3">
      <c r="B64" s="91"/>
      <c r="C64" s="222" t="s">
        <v>99</v>
      </c>
      <c r="D64" s="241"/>
      <c r="E64" s="242"/>
      <c r="F64" s="406">
        <f>SUM(F53:F63)</f>
        <v>0</v>
      </c>
    </row>
    <row r="65" spans="2:6" ht="14.65" customHeight="1" x14ac:dyDescent="0.25">
      <c r="C65"/>
      <c r="D65"/>
      <c r="F65"/>
    </row>
    <row r="66" spans="2:6" ht="14.65" customHeight="1" thickBot="1" x14ac:dyDescent="0.3">
      <c r="C66"/>
      <c r="D66"/>
      <c r="F66"/>
    </row>
    <row r="67" spans="2:6" ht="14.65" customHeight="1" x14ac:dyDescent="0.25">
      <c r="B67" s="603" t="s">
        <v>9</v>
      </c>
      <c r="C67" s="603" t="s">
        <v>10</v>
      </c>
      <c r="D67" s="650" t="s">
        <v>96</v>
      </c>
      <c r="E67" s="653" t="s">
        <v>97</v>
      </c>
      <c r="F67" s="623" t="s">
        <v>88</v>
      </c>
    </row>
    <row r="68" spans="2:6" ht="14.65" customHeight="1" x14ac:dyDescent="0.25">
      <c r="B68" s="604"/>
      <c r="C68" s="604"/>
      <c r="D68" s="651"/>
      <c r="E68" s="654"/>
      <c r="F68" s="624"/>
    </row>
    <row r="69" spans="2:6" ht="14.65" customHeight="1" x14ac:dyDescent="0.25">
      <c r="B69" s="604"/>
      <c r="C69" s="604"/>
      <c r="D69" s="651"/>
      <c r="E69" s="654"/>
      <c r="F69" s="624"/>
    </row>
    <row r="70" spans="2:6" ht="14.65" customHeight="1" thickBot="1" x14ac:dyDescent="0.3">
      <c r="B70" s="605"/>
      <c r="C70" s="605"/>
      <c r="D70" s="652"/>
      <c r="E70" s="655"/>
      <c r="F70" s="649"/>
    </row>
    <row r="71" spans="2:6" ht="14.65" customHeight="1" x14ac:dyDescent="0.25">
      <c r="B71" s="128">
        <f>ÜLDANDMED!F10</f>
        <v>2025</v>
      </c>
      <c r="C71" s="76" t="s">
        <v>98</v>
      </c>
      <c r="D71" s="164"/>
      <c r="E71" s="192"/>
      <c r="F71" s="243"/>
    </row>
    <row r="72" spans="2:6" ht="14.65" customHeight="1" x14ac:dyDescent="0.25">
      <c r="B72" s="77"/>
      <c r="C72" s="398"/>
      <c r="D72" s="401"/>
      <c r="E72" s="407" t="e">
        <f>LOOKUP(C72,'KHG eriheitetegurid'!$B$147:$B$157,'KHG eriheitetegurid'!$D$147:$D$157)</f>
        <v>#N/A</v>
      </c>
      <c r="F72" s="408" t="str">
        <f t="shared" si="0"/>
        <v/>
      </c>
    </row>
    <row r="73" spans="2:6" ht="14.65" customHeight="1" x14ac:dyDescent="0.25">
      <c r="B73" s="77"/>
      <c r="C73" s="398"/>
      <c r="D73" s="401"/>
      <c r="E73" s="407" t="e">
        <f>LOOKUP(C73,'KHG eriheitetegurid'!$B$147:$B$157,'KHG eriheitetegurid'!$D$147:$D$157)</f>
        <v>#N/A</v>
      </c>
      <c r="F73" s="408" t="str">
        <f t="shared" si="0"/>
        <v/>
      </c>
    </row>
    <row r="74" spans="2:6" ht="14.65" customHeight="1" x14ac:dyDescent="0.25">
      <c r="B74" s="77"/>
      <c r="C74" s="398"/>
      <c r="D74" s="401"/>
      <c r="E74" s="407" t="e">
        <f>LOOKUP(C74,'KHG eriheitetegurid'!$B$147:$B$157,'KHG eriheitetegurid'!$D$147:$D$157)</f>
        <v>#N/A</v>
      </c>
      <c r="F74" s="408" t="str">
        <f t="shared" si="0"/>
        <v/>
      </c>
    </row>
    <row r="75" spans="2:6" ht="14.65" customHeight="1" x14ac:dyDescent="0.25">
      <c r="B75" s="77"/>
      <c r="C75" s="398"/>
      <c r="D75" s="401"/>
      <c r="E75" s="407" t="e">
        <f>LOOKUP(C75,'KHG eriheitetegurid'!$B$147:$B$157,'KHG eriheitetegurid'!$D$147:$D$157)</f>
        <v>#N/A</v>
      </c>
      <c r="F75" s="408" t="str">
        <f t="shared" si="0"/>
        <v/>
      </c>
    </row>
    <row r="76" spans="2:6" ht="14.65" customHeight="1" x14ac:dyDescent="0.25">
      <c r="B76" s="77"/>
      <c r="C76" s="398"/>
      <c r="D76" s="401"/>
      <c r="E76" s="407" t="e">
        <f>LOOKUP(C76,'KHG eriheitetegurid'!$B$147:$B$157,'KHG eriheitetegurid'!$D$147:$D$157)</f>
        <v>#N/A</v>
      </c>
      <c r="F76" s="408" t="str">
        <f t="shared" si="0"/>
        <v/>
      </c>
    </row>
    <row r="77" spans="2:6" ht="14.65" customHeight="1" x14ac:dyDescent="0.25">
      <c r="B77" s="77"/>
      <c r="C77" s="398"/>
      <c r="D77" s="401"/>
      <c r="E77" s="407" t="e">
        <f>LOOKUP(C77,'KHG eriheitetegurid'!$B$147:$B$157,'KHG eriheitetegurid'!$D$147:$D$157)</f>
        <v>#N/A</v>
      </c>
      <c r="F77" s="408" t="str">
        <f t="shared" si="0"/>
        <v/>
      </c>
    </row>
    <row r="78" spans="2:6" ht="14.65" customHeight="1" x14ac:dyDescent="0.25">
      <c r="B78" s="77"/>
      <c r="C78" s="398"/>
      <c r="D78" s="401"/>
      <c r="E78" s="407" t="e">
        <f>LOOKUP(C78,'KHG eriheitetegurid'!$B$147:$B$157,'KHG eriheitetegurid'!$D$147:$D$157)</f>
        <v>#N/A</v>
      </c>
      <c r="F78" s="408" t="str">
        <f t="shared" si="0"/>
        <v/>
      </c>
    </row>
    <row r="79" spans="2:6" ht="14.65" customHeight="1" x14ac:dyDescent="0.25">
      <c r="B79" s="77"/>
      <c r="C79" s="398"/>
      <c r="D79" s="401"/>
      <c r="E79" s="407" t="e">
        <f>LOOKUP(C79,'KHG eriheitetegurid'!$B$147:$B$157,'KHG eriheitetegurid'!$D$147:$D$157)</f>
        <v>#N/A</v>
      </c>
      <c r="F79" s="408" t="str">
        <f t="shared" si="0"/>
        <v/>
      </c>
    </row>
    <row r="80" spans="2:6" ht="14.65" customHeight="1" x14ac:dyDescent="0.25">
      <c r="B80" s="77"/>
      <c r="C80" s="398"/>
      <c r="D80" s="401"/>
      <c r="E80" s="407" t="e">
        <f>LOOKUP(C80,'KHG eriheitetegurid'!$B$147:$B$157,'KHG eriheitetegurid'!$D$147:$D$157)</f>
        <v>#N/A</v>
      </c>
      <c r="F80" s="408" t="str">
        <f t="shared" si="0"/>
        <v/>
      </c>
    </row>
    <row r="81" spans="2:6" ht="14.65" customHeight="1" x14ac:dyDescent="0.25">
      <c r="B81" s="77"/>
      <c r="C81" s="398"/>
      <c r="D81" s="401"/>
      <c r="E81" s="407" t="e">
        <f>LOOKUP(C81,'KHG eriheitetegurid'!$B$147:$B$157,'KHG eriheitetegurid'!$D$147:$D$157)</f>
        <v>#N/A</v>
      </c>
      <c r="F81" s="408" t="str">
        <f t="shared" si="0"/>
        <v/>
      </c>
    </row>
    <row r="82" spans="2:6" ht="14.65" customHeight="1" thickBot="1" x14ac:dyDescent="0.3">
      <c r="B82" s="91"/>
      <c r="C82" s="400"/>
      <c r="D82" s="402"/>
      <c r="E82" s="409" t="e">
        <f>LOOKUP(C82,'KHG eriheitetegurid'!$B$147:$B$157,'KHG eriheitetegurid'!$D$147:$D$157)</f>
        <v>#N/A</v>
      </c>
      <c r="F82" s="408" t="str">
        <f t="shared" si="0"/>
        <v/>
      </c>
    </row>
    <row r="83" spans="2:6" ht="14.65" customHeight="1" thickBot="1" x14ac:dyDescent="0.3">
      <c r="B83" s="91"/>
      <c r="C83" s="222" t="s">
        <v>99</v>
      </c>
      <c r="D83" s="241"/>
      <c r="E83" s="242"/>
      <c r="F83" s="406">
        <f>SUM(F72:F82)</f>
        <v>0</v>
      </c>
    </row>
    <row r="84" spans="2:6" ht="14.65" customHeight="1" x14ac:dyDescent="0.25">
      <c r="C84"/>
      <c r="D84"/>
      <c r="F84"/>
    </row>
    <row r="85" spans="2:6" ht="14.65" customHeight="1" thickBot="1" x14ac:dyDescent="0.3">
      <c r="C85"/>
      <c r="D85"/>
      <c r="F85"/>
    </row>
    <row r="86" spans="2:6" ht="14.65" customHeight="1" x14ac:dyDescent="0.25">
      <c r="B86" s="603" t="s">
        <v>9</v>
      </c>
      <c r="C86" s="603" t="s">
        <v>10</v>
      </c>
      <c r="D86" s="650" t="s">
        <v>96</v>
      </c>
      <c r="E86" s="653" t="s">
        <v>97</v>
      </c>
      <c r="F86" s="623" t="s">
        <v>88</v>
      </c>
    </row>
    <row r="87" spans="2:6" ht="14.65" customHeight="1" x14ac:dyDescent="0.25">
      <c r="B87" s="604"/>
      <c r="C87" s="604"/>
      <c r="D87" s="651"/>
      <c r="E87" s="654"/>
      <c r="F87" s="624"/>
    </row>
    <row r="88" spans="2:6" ht="14.65" customHeight="1" x14ac:dyDescent="0.25">
      <c r="B88" s="604"/>
      <c r="C88" s="604"/>
      <c r="D88" s="651"/>
      <c r="E88" s="654"/>
      <c r="F88" s="624"/>
    </row>
    <row r="89" spans="2:6" ht="14.65" customHeight="1" thickBot="1" x14ac:dyDescent="0.3">
      <c r="B89" s="605"/>
      <c r="C89" s="605"/>
      <c r="D89" s="652"/>
      <c r="E89" s="655"/>
      <c r="F89" s="649"/>
    </row>
    <row r="90" spans="2:6" ht="14.65" customHeight="1" x14ac:dyDescent="0.25">
      <c r="B90" s="89">
        <f>ÜLDANDMED!G10</f>
        <v>2026</v>
      </c>
      <c r="C90" s="76" t="s">
        <v>98</v>
      </c>
      <c r="D90" s="164"/>
      <c r="E90" s="192"/>
      <c r="F90" s="243"/>
    </row>
    <row r="91" spans="2:6" ht="14.65" customHeight="1" x14ac:dyDescent="0.25">
      <c r="B91" s="77"/>
      <c r="C91" s="398"/>
      <c r="D91" s="401"/>
      <c r="E91" s="407" t="e">
        <f>LOOKUP(C91,'KHG eriheitetegurid'!$B$147:$B$157,'KHG eriheitetegurid'!$D$147:$D$157)</f>
        <v>#N/A</v>
      </c>
      <c r="F91" s="408" t="str">
        <f t="shared" si="0"/>
        <v/>
      </c>
    </row>
    <row r="92" spans="2:6" ht="14.65" customHeight="1" x14ac:dyDescent="0.25">
      <c r="B92" s="77"/>
      <c r="C92" s="398"/>
      <c r="D92" s="401"/>
      <c r="E92" s="407" t="e">
        <f>LOOKUP(C92,'KHG eriheitetegurid'!$B$147:$B$157,'KHG eriheitetegurid'!$D$147:$D$157)</f>
        <v>#N/A</v>
      </c>
      <c r="F92" s="408" t="str">
        <f t="shared" si="0"/>
        <v/>
      </c>
    </row>
    <row r="93" spans="2:6" ht="14.65" customHeight="1" x14ac:dyDescent="0.25">
      <c r="B93" s="77"/>
      <c r="C93" s="398"/>
      <c r="D93" s="401"/>
      <c r="E93" s="407" t="e">
        <f>LOOKUP(C93,'KHG eriheitetegurid'!$B$147:$B$157,'KHG eriheitetegurid'!$D$147:$D$157)</f>
        <v>#N/A</v>
      </c>
      <c r="F93" s="408" t="str">
        <f t="shared" si="0"/>
        <v/>
      </c>
    </row>
    <row r="94" spans="2:6" ht="14.65" customHeight="1" x14ac:dyDescent="0.25">
      <c r="B94" s="77"/>
      <c r="C94" s="398"/>
      <c r="D94" s="401"/>
      <c r="E94" s="407" t="e">
        <f>LOOKUP(C94,'KHG eriheitetegurid'!$B$147:$B$157,'KHG eriheitetegurid'!$D$147:$D$157)</f>
        <v>#N/A</v>
      </c>
      <c r="F94" s="408" t="str">
        <f t="shared" si="0"/>
        <v/>
      </c>
    </row>
    <row r="95" spans="2:6" ht="14.65" customHeight="1" x14ac:dyDescent="0.25">
      <c r="B95" s="77"/>
      <c r="C95" s="398"/>
      <c r="D95" s="401"/>
      <c r="E95" s="407" t="e">
        <f>LOOKUP(C95,'KHG eriheitetegurid'!$B$147:$B$157,'KHG eriheitetegurid'!$D$147:$D$157)</f>
        <v>#N/A</v>
      </c>
      <c r="F95" s="408" t="str">
        <f t="shared" si="0"/>
        <v/>
      </c>
    </row>
    <row r="96" spans="2:6" ht="14.65" customHeight="1" x14ac:dyDescent="0.25">
      <c r="B96" s="77"/>
      <c r="C96" s="398"/>
      <c r="D96" s="401"/>
      <c r="E96" s="407" t="e">
        <f>LOOKUP(C96,'KHG eriheitetegurid'!$B$147:$B$157,'KHG eriheitetegurid'!$D$147:$D$157)</f>
        <v>#N/A</v>
      </c>
      <c r="F96" s="408" t="str">
        <f t="shared" si="0"/>
        <v/>
      </c>
    </row>
    <row r="97" spans="2:6" ht="14.65" customHeight="1" x14ac:dyDescent="0.25">
      <c r="B97" s="77"/>
      <c r="C97" s="398"/>
      <c r="D97" s="401"/>
      <c r="E97" s="407" t="e">
        <f>LOOKUP(C97,'KHG eriheitetegurid'!$B$147:$B$157,'KHG eriheitetegurid'!$D$147:$D$157)</f>
        <v>#N/A</v>
      </c>
      <c r="F97" s="408" t="str">
        <f t="shared" si="0"/>
        <v/>
      </c>
    </row>
    <row r="98" spans="2:6" ht="14.65" customHeight="1" x14ac:dyDescent="0.25">
      <c r="B98" s="77"/>
      <c r="C98" s="398"/>
      <c r="D98" s="401"/>
      <c r="E98" s="407" t="e">
        <f>LOOKUP(C98,'KHG eriheitetegurid'!$B$147:$B$157,'KHG eriheitetegurid'!$D$147:$D$157)</f>
        <v>#N/A</v>
      </c>
      <c r="F98" s="408" t="str">
        <f t="shared" si="0"/>
        <v/>
      </c>
    </row>
    <row r="99" spans="2:6" ht="14.65" customHeight="1" x14ac:dyDescent="0.25">
      <c r="B99" s="77"/>
      <c r="C99" s="398"/>
      <c r="D99" s="401"/>
      <c r="E99" s="407" t="e">
        <f>LOOKUP(C99,'KHG eriheitetegurid'!$B$147:$B$157,'KHG eriheitetegurid'!$D$147:$D$157)</f>
        <v>#N/A</v>
      </c>
      <c r="F99" s="408" t="str">
        <f t="shared" si="0"/>
        <v/>
      </c>
    </row>
    <row r="100" spans="2:6" ht="14.65" customHeight="1" x14ac:dyDescent="0.25">
      <c r="B100" s="77"/>
      <c r="C100" s="398"/>
      <c r="D100" s="401"/>
      <c r="E100" s="407" t="e">
        <f>LOOKUP(C100,'KHG eriheitetegurid'!$B$147:$B$157,'KHG eriheitetegurid'!$D$147:$D$157)</f>
        <v>#N/A</v>
      </c>
      <c r="F100" s="408" t="str">
        <f t="shared" si="0"/>
        <v/>
      </c>
    </row>
    <row r="101" spans="2:6" ht="14.65" customHeight="1" thickBot="1" x14ac:dyDescent="0.3">
      <c r="B101" s="91"/>
      <c r="C101" s="400"/>
      <c r="D101" s="401"/>
      <c r="E101" s="407" t="e">
        <f>LOOKUP(C101,'KHG eriheitetegurid'!$B$147:$B$157,'KHG eriheitetegurid'!$D$147:$D$157)</f>
        <v>#N/A</v>
      </c>
      <c r="F101" s="408" t="str">
        <f t="shared" si="0"/>
        <v/>
      </c>
    </row>
    <row r="102" spans="2:6" ht="14.65" customHeight="1" thickBot="1" x14ac:dyDescent="0.3">
      <c r="B102" s="91"/>
      <c r="C102" s="222" t="s">
        <v>99</v>
      </c>
      <c r="D102" s="241"/>
      <c r="E102" s="242"/>
      <c r="F102" s="406">
        <f>SUM(F91:F101)</f>
        <v>0</v>
      </c>
    </row>
    <row r="103" spans="2:6" ht="14.65" customHeight="1" x14ac:dyDescent="0.25">
      <c r="C103"/>
      <c r="D103"/>
      <c r="F103"/>
    </row>
    <row r="104" spans="2:6" ht="14.65" customHeight="1" thickBot="1" x14ac:dyDescent="0.3">
      <c r="C104"/>
      <c r="D104"/>
      <c r="F104"/>
    </row>
    <row r="105" spans="2:6" ht="14.65" customHeight="1" x14ac:dyDescent="0.25">
      <c r="B105" s="603" t="s">
        <v>9</v>
      </c>
      <c r="C105" s="603" t="s">
        <v>10</v>
      </c>
      <c r="D105" s="650" t="s">
        <v>96</v>
      </c>
      <c r="E105" s="653" t="s">
        <v>97</v>
      </c>
      <c r="F105" s="623" t="s">
        <v>88</v>
      </c>
    </row>
    <row r="106" spans="2:6" ht="14.65" customHeight="1" x14ac:dyDescent="0.25">
      <c r="B106" s="604"/>
      <c r="C106" s="604"/>
      <c r="D106" s="651"/>
      <c r="E106" s="654"/>
      <c r="F106" s="624"/>
    </row>
    <row r="107" spans="2:6" ht="14.65" customHeight="1" x14ac:dyDescent="0.25">
      <c r="B107" s="604"/>
      <c r="C107" s="604"/>
      <c r="D107" s="651"/>
      <c r="E107" s="654"/>
      <c r="F107" s="624"/>
    </row>
    <row r="108" spans="2:6" ht="14.65" customHeight="1" thickBot="1" x14ac:dyDescent="0.3">
      <c r="B108" s="605"/>
      <c r="C108" s="605"/>
      <c r="D108" s="652"/>
      <c r="E108" s="655"/>
      <c r="F108" s="649"/>
    </row>
    <row r="109" spans="2:6" ht="14.65" customHeight="1" x14ac:dyDescent="0.25">
      <c r="B109" s="128">
        <f>ÜLDANDMED!H10</f>
        <v>2027</v>
      </c>
      <c r="C109" s="76" t="s">
        <v>98</v>
      </c>
      <c r="D109" s="164"/>
      <c r="E109" s="192"/>
      <c r="F109" s="243"/>
    </row>
    <row r="110" spans="2:6" ht="14.65" customHeight="1" x14ac:dyDescent="0.25">
      <c r="B110" s="77"/>
      <c r="C110" s="398"/>
      <c r="D110" s="401"/>
      <c r="E110" s="407" t="e">
        <f>LOOKUP(C110,'KHG eriheitetegurid'!$B$147:$B$157,'KHG eriheitetegurid'!$D$147:$D$157)</f>
        <v>#N/A</v>
      </c>
      <c r="F110" s="408" t="str">
        <f t="shared" si="0"/>
        <v/>
      </c>
    </row>
    <row r="111" spans="2:6" ht="14.65" customHeight="1" x14ac:dyDescent="0.25">
      <c r="B111" s="77"/>
      <c r="C111" s="398"/>
      <c r="D111" s="401"/>
      <c r="E111" s="407" t="e">
        <f>LOOKUP(C111,'KHG eriheitetegurid'!$B$147:$B$157,'KHG eriheitetegurid'!$D$147:$D$157)</f>
        <v>#N/A</v>
      </c>
      <c r="F111" s="408" t="str">
        <f t="shared" si="0"/>
        <v/>
      </c>
    </row>
    <row r="112" spans="2:6" ht="14.65" customHeight="1" x14ac:dyDescent="0.25">
      <c r="B112" s="77"/>
      <c r="C112" s="398"/>
      <c r="D112" s="401"/>
      <c r="E112" s="407" t="e">
        <f>LOOKUP(C112,'KHG eriheitetegurid'!$B$147:$B$157,'KHG eriheitetegurid'!$D$147:$D$157)</f>
        <v>#N/A</v>
      </c>
      <c r="F112" s="408" t="str">
        <f t="shared" si="0"/>
        <v/>
      </c>
    </row>
    <row r="113" spans="2:6" ht="14.65" customHeight="1" x14ac:dyDescent="0.25">
      <c r="B113" s="77"/>
      <c r="C113" s="398"/>
      <c r="D113" s="401"/>
      <c r="E113" s="407" t="e">
        <f>LOOKUP(C113,'KHG eriheitetegurid'!$B$147:$B$157,'KHG eriheitetegurid'!$D$147:$D$157)</f>
        <v>#N/A</v>
      </c>
      <c r="F113" s="408" t="str">
        <f t="shared" si="0"/>
        <v/>
      </c>
    </row>
    <row r="114" spans="2:6" ht="14.65" customHeight="1" x14ac:dyDescent="0.25">
      <c r="B114" s="77"/>
      <c r="C114" s="398"/>
      <c r="D114" s="401"/>
      <c r="E114" s="407" t="e">
        <f>LOOKUP(C114,'KHG eriheitetegurid'!$B$147:$B$157,'KHG eriheitetegurid'!$D$147:$D$157)</f>
        <v>#N/A</v>
      </c>
      <c r="F114" s="408" t="str">
        <f t="shared" si="0"/>
        <v/>
      </c>
    </row>
    <row r="115" spans="2:6" ht="14.65" customHeight="1" x14ac:dyDescent="0.25">
      <c r="B115" s="77"/>
      <c r="C115" s="398"/>
      <c r="D115" s="401"/>
      <c r="E115" s="407" t="e">
        <f>LOOKUP(C115,'KHG eriheitetegurid'!$B$147:$B$157,'KHG eriheitetegurid'!$D$147:$D$157)</f>
        <v>#N/A</v>
      </c>
      <c r="F115" s="408" t="str">
        <f t="shared" ref="F115:F139" si="1">_xlfn.IFNA(D115*E115/1000,"")</f>
        <v/>
      </c>
    </row>
    <row r="116" spans="2:6" ht="14.65" customHeight="1" x14ac:dyDescent="0.25">
      <c r="B116" s="77"/>
      <c r="C116" s="398"/>
      <c r="D116" s="401"/>
      <c r="E116" s="407" t="e">
        <f>LOOKUP(C116,'KHG eriheitetegurid'!$B$147:$B$157,'KHG eriheitetegurid'!$D$147:$D$157)</f>
        <v>#N/A</v>
      </c>
      <c r="F116" s="408" t="str">
        <f t="shared" si="1"/>
        <v/>
      </c>
    </row>
    <row r="117" spans="2:6" ht="14.65" customHeight="1" x14ac:dyDescent="0.25">
      <c r="B117" s="77"/>
      <c r="C117" s="398"/>
      <c r="D117" s="401"/>
      <c r="E117" s="407" t="e">
        <f>LOOKUP(C117,'KHG eriheitetegurid'!$B$147:$B$157,'KHG eriheitetegurid'!$D$147:$D$157)</f>
        <v>#N/A</v>
      </c>
      <c r="F117" s="408" t="str">
        <f t="shared" si="1"/>
        <v/>
      </c>
    </row>
    <row r="118" spans="2:6" ht="14.65" customHeight="1" x14ac:dyDescent="0.25">
      <c r="B118" s="77"/>
      <c r="C118" s="398"/>
      <c r="D118" s="401"/>
      <c r="E118" s="407" t="e">
        <f>LOOKUP(C118,'KHG eriheitetegurid'!$B$147:$B$157,'KHG eriheitetegurid'!$D$147:$D$157)</f>
        <v>#N/A</v>
      </c>
      <c r="F118" s="408" t="str">
        <f t="shared" si="1"/>
        <v/>
      </c>
    </row>
    <row r="119" spans="2:6" ht="14.65" customHeight="1" x14ac:dyDescent="0.25">
      <c r="B119" s="77"/>
      <c r="C119" s="398"/>
      <c r="D119" s="401"/>
      <c r="E119" s="407" t="e">
        <f>LOOKUP(C119,'KHG eriheitetegurid'!$B$147:$B$157,'KHG eriheitetegurid'!$D$147:$D$157)</f>
        <v>#N/A</v>
      </c>
      <c r="F119" s="408" t="str">
        <f t="shared" si="1"/>
        <v/>
      </c>
    </row>
    <row r="120" spans="2:6" ht="14.65" customHeight="1" thickBot="1" x14ac:dyDescent="0.3">
      <c r="B120" s="91"/>
      <c r="C120" s="400"/>
      <c r="D120" s="402"/>
      <c r="E120" s="409" t="e">
        <f>LOOKUP(C120,'KHG eriheitetegurid'!$B$147:$B$157,'KHG eriheitetegurid'!$D$147:$D$157)</f>
        <v>#N/A</v>
      </c>
      <c r="F120" s="408" t="str">
        <f t="shared" si="1"/>
        <v/>
      </c>
    </row>
    <row r="121" spans="2:6" ht="14.65" customHeight="1" thickBot="1" x14ac:dyDescent="0.3">
      <c r="B121" s="91"/>
      <c r="C121" s="222" t="s">
        <v>99</v>
      </c>
      <c r="D121" s="241"/>
      <c r="E121" s="242"/>
      <c r="F121" s="406">
        <f>SUM(F110:F120)</f>
        <v>0</v>
      </c>
    </row>
    <row r="122" spans="2:6" ht="14.65" customHeight="1" x14ac:dyDescent="0.25">
      <c r="C122"/>
      <c r="D122"/>
      <c r="F122"/>
    </row>
    <row r="123" spans="2:6" ht="14.65" customHeight="1" thickBot="1" x14ac:dyDescent="0.3">
      <c r="C123"/>
      <c r="D123"/>
      <c r="F123"/>
    </row>
    <row r="124" spans="2:6" ht="14.65" customHeight="1" x14ac:dyDescent="0.25">
      <c r="B124" s="603" t="s">
        <v>9</v>
      </c>
      <c r="C124" s="603" t="s">
        <v>10</v>
      </c>
      <c r="D124" s="650" t="s">
        <v>96</v>
      </c>
      <c r="E124" s="653" t="s">
        <v>97</v>
      </c>
      <c r="F124" s="623" t="s">
        <v>88</v>
      </c>
    </row>
    <row r="125" spans="2:6" ht="14.65" customHeight="1" x14ac:dyDescent="0.25">
      <c r="B125" s="604"/>
      <c r="C125" s="604"/>
      <c r="D125" s="651"/>
      <c r="E125" s="654"/>
      <c r="F125" s="624"/>
    </row>
    <row r="126" spans="2:6" ht="14.65" customHeight="1" x14ac:dyDescent="0.25">
      <c r="B126" s="604"/>
      <c r="C126" s="604"/>
      <c r="D126" s="651"/>
      <c r="E126" s="654"/>
      <c r="F126" s="624"/>
    </row>
    <row r="127" spans="2:6" ht="14.65" customHeight="1" thickBot="1" x14ac:dyDescent="0.3">
      <c r="B127" s="605"/>
      <c r="C127" s="605"/>
      <c r="D127" s="652"/>
      <c r="E127" s="655"/>
      <c r="F127" s="649"/>
    </row>
    <row r="128" spans="2:6" ht="14.65" customHeight="1" x14ac:dyDescent="0.25">
      <c r="B128" s="128">
        <f>ÜLDANDMED!I10</f>
        <v>2028</v>
      </c>
      <c r="C128" s="76" t="s">
        <v>98</v>
      </c>
      <c r="D128" s="164"/>
      <c r="E128" s="192"/>
      <c r="F128" s="243"/>
    </row>
    <row r="129" spans="2:6" ht="14.65" customHeight="1" x14ac:dyDescent="0.25">
      <c r="B129" s="77"/>
      <c r="C129" s="398"/>
      <c r="D129" s="403"/>
      <c r="E129" s="410" t="e">
        <f>LOOKUP(C129,'KHG eriheitetegurid'!$B$147:$B$157,'KHG eriheitetegurid'!$D$147:$D$157)</f>
        <v>#N/A</v>
      </c>
      <c r="F129" s="408" t="str">
        <f t="shared" si="1"/>
        <v/>
      </c>
    </row>
    <row r="130" spans="2:6" ht="14.65" customHeight="1" x14ac:dyDescent="0.25">
      <c r="B130" s="77"/>
      <c r="C130" s="398"/>
      <c r="D130" s="404"/>
      <c r="E130" s="407" t="e">
        <f>LOOKUP(C130,'KHG eriheitetegurid'!$B$147:$B$157,'KHG eriheitetegurid'!$D$147:$D$157)</f>
        <v>#N/A</v>
      </c>
      <c r="F130" s="408" t="str">
        <f t="shared" si="1"/>
        <v/>
      </c>
    </row>
    <row r="131" spans="2:6" ht="14.65" customHeight="1" x14ac:dyDescent="0.25">
      <c r="B131" s="77"/>
      <c r="C131" s="398"/>
      <c r="D131" s="404"/>
      <c r="E131" s="407" t="e">
        <f>LOOKUP(C131,'KHG eriheitetegurid'!$B$147:$B$157,'KHG eriheitetegurid'!$D$147:$D$157)</f>
        <v>#N/A</v>
      </c>
      <c r="F131" s="408" t="str">
        <f t="shared" si="1"/>
        <v/>
      </c>
    </row>
    <row r="132" spans="2:6" ht="14.65" customHeight="1" x14ac:dyDescent="0.25">
      <c r="B132" s="77"/>
      <c r="C132" s="398"/>
      <c r="D132" s="404"/>
      <c r="E132" s="407" t="e">
        <f>LOOKUP(C132,'KHG eriheitetegurid'!$B$147:$B$157,'KHG eriheitetegurid'!$D$147:$D$157)</f>
        <v>#N/A</v>
      </c>
      <c r="F132" s="408" t="str">
        <f t="shared" si="1"/>
        <v/>
      </c>
    </row>
    <row r="133" spans="2:6" ht="14.65" customHeight="1" x14ac:dyDescent="0.25">
      <c r="B133" s="77"/>
      <c r="C133" s="398"/>
      <c r="D133" s="404"/>
      <c r="E133" s="407" t="e">
        <f>LOOKUP(C133,'KHG eriheitetegurid'!$B$147:$B$157,'KHG eriheitetegurid'!$D$147:$D$157)</f>
        <v>#N/A</v>
      </c>
      <c r="F133" s="408" t="str">
        <f t="shared" si="1"/>
        <v/>
      </c>
    </row>
    <row r="134" spans="2:6" ht="14.65" customHeight="1" x14ac:dyDescent="0.25">
      <c r="B134" s="77"/>
      <c r="C134" s="398"/>
      <c r="D134" s="404"/>
      <c r="E134" s="407" t="e">
        <f>LOOKUP(C134,'KHG eriheitetegurid'!$B$147:$B$157,'KHG eriheitetegurid'!$D$147:$D$157)</f>
        <v>#N/A</v>
      </c>
      <c r="F134" s="408" t="str">
        <f t="shared" si="1"/>
        <v/>
      </c>
    </row>
    <row r="135" spans="2:6" ht="14.65" customHeight="1" x14ac:dyDescent="0.25">
      <c r="B135" s="77"/>
      <c r="C135" s="398"/>
      <c r="D135" s="404"/>
      <c r="E135" s="407" t="e">
        <f>LOOKUP(C135,'KHG eriheitetegurid'!$B$147:$B$157,'KHG eriheitetegurid'!$D$147:$D$157)</f>
        <v>#N/A</v>
      </c>
      <c r="F135" s="408" t="str">
        <f t="shared" si="1"/>
        <v/>
      </c>
    </row>
    <row r="136" spans="2:6" ht="14.65" customHeight="1" x14ac:dyDescent="0.25">
      <c r="B136" s="77"/>
      <c r="C136" s="398"/>
      <c r="D136" s="404"/>
      <c r="E136" s="407" t="e">
        <f>LOOKUP(C136,'KHG eriheitetegurid'!$B$147:$B$157,'KHG eriheitetegurid'!$D$147:$D$157)</f>
        <v>#N/A</v>
      </c>
      <c r="F136" s="408" t="str">
        <f t="shared" si="1"/>
        <v/>
      </c>
    </row>
    <row r="137" spans="2:6" ht="14.65" customHeight="1" x14ac:dyDescent="0.25">
      <c r="B137" s="77"/>
      <c r="C137" s="398"/>
      <c r="D137" s="404"/>
      <c r="E137" s="407" t="e">
        <f>LOOKUP(C137,'KHG eriheitetegurid'!$B$147:$B$157,'KHG eriheitetegurid'!$D$147:$D$157)</f>
        <v>#N/A</v>
      </c>
      <c r="F137" s="408" t="str">
        <f t="shared" si="1"/>
        <v/>
      </c>
    </row>
    <row r="138" spans="2:6" ht="14.65" customHeight="1" x14ac:dyDescent="0.25">
      <c r="B138" s="77"/>
      <c r="C138" s="398"/>
      <c r="D138" s="404"/>
      <c r="E138" s="407" t="e">
        <f>LOOKUP(C138,'KHG eriheitetegurid'!$B$147:$B$157,'KHG eriheitetegurid'!$D$147:$D$157)</f>
        <v>#N/A</v>
      </c>
      <c r="F138" s="408" t="str">
        <f t="shared" si="1"/>
        <v/>
      </c>
    </row>
    <row r="139" spans="2:6" ht="14.65" customHeight="1" thickBot="1" x14ac:dyDescent="0.3">
      <c r="B139" s="91"/>
      <c r="C139" s="400"/>
      <c r="D139" s="405"/>
      <c r="E139" s="411" t="e">
        <f>LOOKUP(C139,'KHG eriheitetegurid'!$B$147:$B$157,'KHG eriheitetegurid'!$D$147:$D$157)</f>
        <v>#N/A</v>
      </c>
      <c r="F139" s="412" t="str">
        <f t="shared" si="1"/>
        <v/>
      </c>
    </row>
    <row r="140" spans="2:6" ht="14.65" customHeight="1" thickBot="1" x14ac:dyDescent="0.3">
      <c r="B140" s="91"/>
      <c r="C140" s="222" t="s">
        <v>99</v>
      </c>
      <c r="D140" s="241"/>
      <c r="E140" s="242"/>
      <c r="F140" s="406">
        <f>SUM(F129:F139)</f>
        <v>0</v>
      </c>
    </row>
  </sheetData>
  <mergeCells count="36">
    <mergeCell ref="B10:B13"/>
    <mergeCell ref="C10:C13"/>
    <mergeCell ref="D10:D13"/>
    <mergeCell ref="E10:E13"/>
    <mergeCell ref="B3:K3"/>
    <mergeCell ref="F10:F13"/>
    <mergeCell ref="B29:B32"/>
    <mergeCell ref="C29:C32"/>
    <mergeCell ref="D29:D32"/>
    <mergeCell ref="E29:E32"/>
    <mergeCell ref="F29:F32"/>
    <mergeCell ref="B48:B51"/>
    <mergeCell ref="C48:C51"/>
    <mergeCell ref="D48:D51"/>
    <mergeCell ref="E48:E51"/>
    <mergeCell ref="F48:F51"/>
    <mergeCell ref="B67:B70"/>
    <mergeCell ref="C67:C70"/>
    <mergeCell ref="D67:D70"/>
    <mergeCell ref="E67:E70"/>
    <mergeCell ref="F67:F70"/>
    <mergeCell ref="B86:B89"/>
    <mergeCell ref="C86:C89"/>
    <mergeCell ref="D86:D89"/>
    <mergeCell ref="E86:E89"/>
    <mergeCell ref="F86:F89"/>
    <mergeCell ref="B105:B108"/>
    <mergeCell ref="C105:C108"/>
    <mergeCell ref="D105:D108"/>
    <mergeCell ref="E105:E108"/>
    <mergeCell ref="F105:F108"/>
    <mergeCell ref="B124:B127"/>
    <mergeCell ref="C124:C127"/>
    <mergeCell ref="D124:D127"/>
    <mergeCell ref="E124:E127"/>
    <mergeCell ref="F124:F127"/>
  </mergeCells>
  <hyperlinks>
    <hyperlink ref="B3:K3" r:id="rId1" display="https://klab.ee/f-gaasid/f-gaaside-co%e2%82%82-ekvivalendi-kalkulaator/" xr:uid="{EA0A49AD-BB38-4E2A-8A84-6F5973CE80C9}"/>
  </hyperlinks>
  <pageMargins left="0.70866141732283472" right="0.70866141732283472" top="0.74803149606299213" bottom="0.74803149606299213" header="0.31496062992125984" footer="0.31496062992125984"/>
  <pageSetup scale="77" fitToHeight="2" orientation="portrait" horizontalDpi="4294967295" verticalDpi="4294967295" r:id="rId2"/>
  <extLst>
    <ext xmlns:x14="http://schemas.microsoft.com/office/spreadsheetml/2009/9/main" uri="{CCE6A557-97BC-4b89-ADB6-D9C93CAAB3DF}">
      <x14:dataValidations xmlns:xm="http://schemas.microsoft.com/office/excel/2006/main" count="1">
        <x14:dataValidation type="list" allowBlank="1" showInputMessage="1" showErrorMessage="1" xr:uid="{49E4E3A6-A5CF-4C72-8A09-40E579C1C6B7}">
          <x14:formula1>
            <xm:f>'KHG eriheitetegurid'!$B$147:$B$157</xm:f>
          </x14:formula1>
          <xm:sqref>C110:C120 C15:C25 C53:C63 C34:C44 C91:C101 C129:C139 C72:C82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690FE-85E0-4CCB-96C5-5FF0FDFE5546}">
  <sheetPr>
    <tabColor rgb="FFFB8604"/>
    <pageSetUpPr fitToPage="1"/>
  </sheetPr>
  <dimension ref="B1:N153"/>
  <sheetViews>
    <sheetView showGridLines="0" zoomScaleNormal="100" workbookViewId="0">
      <pane xSplit="1" ySplit="1" topLeftCell="B94" activePane="bottomRight" state="frozen"/>
      <selection pane="topRight" activeCell="B1" sqref="B1"/>
      <selection pane="bottomLeft" activeCell="A3" sqref="A3"/>
      <selection pane="bottomRight" activeCell="J147" sqref="J147"/>
    </sheetView>
  </sheetViews>
  <sheetFormatPr defaultRowHeight="14.65" customHeight="1" x14ac:dyDescent="0.25"/>
  <cols>
    <col min="1" max="1" width="2.5703125" customWidth="1"/>
    <col min="2" max="2" width="7.5703125" customWidth="1"/>
    <col min="3" max="3" width="40.28515625" style="3" customWidth="1"/>
    <col min="4" max="4" width="15.7109375" style="68" customWidth="1"/>
    <col min="5" max="5" width="15.7109375" style="39" customWidth="1"/>
    <col min="6" max="6" width="15.7109375" style="68" customWidth="1"/>
  </cols>
  <sheetData>
    <row r="1" spans="2:11" ht="18.600000000000001" customHeight="1" x14ac:dyDescent="0.35">
      <c r="B1" s="28" t="s">
        <v>100</v>
      </c>
      <c r="C1" s="129"/>
    </row>
    <row r="2" spans="2:11" ht="14.65" customHeight="1" x14ac:dyDescent="0.3">
      <c r="C2" s="79"/>
    </row>
    <row r="3" spans="2:11" ht="201" customHeight="1" x14ac:dyDescent="0.25">
      <c r="B3" s="570" t="s">
        <v>361</v>
      </c>
      <c r="C3" s="579"/>
      <c r="D3" s="579"/>
      <c r="E3" s="579"/>
      <c r="F3" s="580"/>
    </row>
    <row r="5" spans="2:11" ht="14.65" customHeight="1" x14ac:dyDescent="0.25">
      <c r="B5" s="60" t="s">
        <v>2</v>
      </c>
      <c r="C5" s="80"/>
    </row>
    <row r="6" spans="2:11" ht="14.65" customHeight="1" x14ac:dyDescent="0.25">
      <c r="C6" s="377" t="s">
        <v>3</v>
      </c>
      <c r="D6"/>
      <c r="E6" s="3"/>
      <c r="F6"/>
      <c r="G6" s="68"/>
      <c r="H6" s="3"/>
      <c r="J6" s="3"/>
      <c r="K6" s="39"/>
    </row>
    <row r="7" spans="2:11" ht="14.65" customHeight="1" x14ac:dyDescent="0.25">
      <c r="C7" s="339" t="s">
        <v>4</v>
      </c>
      <c r="D7"/>
      <c r="E7" s="3"/>
      <c r="F7"/>
      <c r="G7" s="3"/>
      <c r="I7" s="3"/>
      <c r="J7" s="39"/>
    </row>
    <row r="8" spans="2:11" ht="14.65" customHeight="1" thickBot="1" x14ac:dyDescent="0.3"/>
    <row r="9" spans="2:11" ht="14.65" customHeight="1" x14ac:dyDescent="0.25">
      <c r="B9" s="603" t="s">
        <v>9</v>
      </c>
      <c r="C9" s="603" t="s">
        <v>10</v>
      </c>
      <c r="D9" s="647" t="s">
        <v>101</v>
      </c>
      <c r="E9" s="653" t="s">
        <v>102</v>
      </c>
      <c r="F9" s="647" t="s">
        <v>103</v>
      </c>
    </row>
    <row r="10" spans="2:11" ht="14.65" customHeight="1" x14ac:dyDescent="0.25">
      <c r="B10" s="604"/>
      <c r="C10" s="604"/>
      <c r="D10" s="661"/>
      <c r="E10" s="654"/>
      <c r="F10" s="661"/>
    </row>
    <row r="11" spans="2:11" ht="14.65" customHeight="1" thickBot="1" x14ac:dyDescent="0.3">
      <c r="B11" s="605"/>
      <c r="C11" s="605"/>
      <c r="D11" s="648"/>
      <c r="E11" s="655"/>
      <c r="F11" s="648"/>
    </row>
    <row r="12" spans="2:11" ht="14.65" customHeight="1" x14ac:dyDescent="0.25">
      <c r="B12" s="104">
        <f>ÜLDANDMED!C10</f>
        <v>2022</v>
      </c>
      <c r="C12" s="213" t="s">
        <v>104</v>
      </c>
      <c r="D12" s="70" t="s">
        <v>105</v>
      </c>
      <c r="E12" s="205" t="s">
        <v>106</v>
      </c>
      <c r="F12" s="205" t="s">
        <v>106</v>
      </c>
    </row>
    <row r="13" spans="2:11" ht="14.65" customHeight="1" x14ac:dyDescent="0.25">
      <c r="B13" s="82"/>
      <c r="C13" s="214" t="s">
        <v>107</v>
      </c>
      <c r="D13" s="417"/>
      <c r="E13" s="414">
        <f>D13*sõiduauto_bensiin_2022/1000</f>
        <v>0</v>
      </c>
      <c r="F13" s="419"/>
    </row>
    <row r="14" spans="2:11" ht="14.65" customHeight="1" x14ac:dyDescent="0.25">
      <c r="B14" s="82"/>
      <c r="C14" s="214" t="s">
        <v>108</v>
      </c>
      <c r="D14" s="417"/>
      <c r="E14" s="414">
        <f>D14*sõiduauto_diisel_2022/1000</f>
        <v>0</v>
      </c>
      <c r="F14" s="417"/>
    </row>
    <row r="15" spans="2:11" ht="14.65" customHeight="1" x14ac:dyDescent="0.25">
      <c r="B15" s="82"/>
      <c r="C15" s="214" t="s">
        <v>341</v>
      </c>
      <c r="D15" s="418"/>
      <c r="E15" s="414">
        <f>D15*sõiduauto_bioCNG_2022/1000</f>
        <v>0</v>
      </c>
      <c r="F15" s="418"/>
    </row>
    <row r="16" spans="2:11" ht="14.65" customHeight="1" x14ac:dyDescent="0.25">
      <c r="B16" s="82"/>
      <c r="C16" s="214" t="s">
        <v>342</v>
      </c>
      <c r="D16" s="418"/>
      <c r="E16" s="414">
        <f>D16*sõiduauto_CNG_2022/1000</f>
        <v>0</v>
      </c>
      <c r="F16" s="418"/>
    </row>
    <row r="17" spans="2:14" ht="14.65" customHeight="1" x14ac:dyDescent="0.25">
      <c r="B17" s="82"/>
      <c r="C17" s="81" t="s">
        <v>339</v>
      </c>
      <c r="D17" s="418"/>
      <c r="E17" s="414">
        <f>D17*sõiduauto_hübriid_2022/1000</f>
        <v>0</v>
      </c>
      <c r="F17" s="418"/>
    </row>
    <row r="18" spans="2:14" ht="14.65" customHeight="1" x14ac:dyDescent="0.25">
      <c r="B18" s="82"/>
      <c r="C18" s="214" t="s">
        <v>109</v>
      </c>
      <c r="D18" s="418"/>
      <c r="E18" s="414">
        <f>D18*sõiduauto_taastuvelekter/1000</f>
        <v>0</v>
      </c>
      <c r="F18" s="418"/>
    </row>
    <row r="19" spans="2:14" ht="14.65" customHeight="1" x14ac:dyDescent="0.25">
      <c r="B19" s="82"/>
      <c r="C19" s="214" t="s">
        <v>110</v>
      </c>
      <c r="D19" s="418"/>
      <c r="E19" s="415">
        <f>D19*sõiduauto_tavaelekter_2022/1000</f>
        <v>0</v>
      </c>
      <c r="F19" s="423"/>
    </row>
    <row r="20" spans="2:14" ht="14.65" customHeight="1" thickBot="1" x14ac:dyDescent="0.3">
      <c r="B20" s="77"/>
      <c r="C20" s="274" t="s">
        <v>111</v>
      </c>
      <c r="D20" s="397"/>
      <c r="E20" s="414">
        <f>D20*sõiduk_takso_2022/1000</f>
        <v>0</v>
      </c>
      <c r="F20" s="397"/>
    </row>
    <row r="21" spans="2:14" ht="14.65" customHeight="1" x14ac:dyDescent="0.25">
      <c r="B21" s="77"/>
      <c r="C21" s="215" t="s">
        <v>112</v>
      </c>
      <c r="D21" s="70" t="s">
        <v>113</v>
      </c>
      <c r="E21" s="153" t="s">
        <v>106</v>
      </c>
      <c r="F21" s="223" t="s">
        <v>106</v>
      </c>
    </row>
    <row r="22" spans="2:14" ht="14.65" customHeight="1" x14ac:dyDescent="0.25">
      <c r="B22" s="77"/>
      <c r="C22" s="216" t="s">
        <v>114</v>
      </c>
      <c r="D22" s="397"/>
      <c r="E22" s="414">
        <f>D22*sõiduk_buss_kaugliin_2022/1000</f>
        <v>0</v>
      </c>
      <c r="F22" s="397"/>
    </row>
    <row r="23" spans="2:14" ht="14.65" customHeight="1" x14ac:dyDescent="0.25">
      <c r="B23" s="77"/>
      <c r="C23" s="216" t="s">
        <v>117</v>
      </c>
      <c r="D23" s="397"/>
      <c r="E23" s="414">
        <f>D23*sõiduk_diiselrong_2022/1000</f>
        <v>0</v>
      </c>
      <c r="F23" s="397"/>
    </row>
    <row r="24" spans="2:14" ht="14.65" customHeight="1" x14ac:dyDescent="0.25">
      <c r="B24" s="77"/>
      <c r="C24" s="216" t="s">
        <v>118</v>
      </c>
      <c r="D24" s="397"/>
      <c r="E24" s="414">
        <f>D24*sõiduk_elektrirong/1000</f>
        <v>0</v>
      </c>
      <c r="F24" s="397"/>
    </row>
    <row r="25" spans="2:14" ht="14.65" customHeight="1" x14ac:dyDescent="0.25">
      <c r="B25" s="77"/>
      <c r="C25" s="217" t="s">
        <v>119</v>
      </c>
      <c r="D25" s="397"/>
      <c r="E25" s="414">
        <f>D25*sõiduk_laev_2022/1000</f>
        <v>0</v>
      </c>
      <c r="F25" s="397"/>
      <c r="N25" s="49"/>
    </row>
    <row r="26" spans="2:14" ht="14.65" customHeight="1" thickBot="1" x14ac:dyDescent="0.3">
      <c r="B26" s="77"/>
      <c r="C26" s="214" t="s">
        <v>120</v>
      </c>
      <c r="D26" s="397"/>
      <c r="E26" s="414">
        <f>D26*sõiduk_lennuk_2022/1000</f>
        <v>0</v>
      </c>
      <c r="F26" s="397"/>
    </row>
    <row r="27" spans="2:14" ht="14.65" customHeight="1" thickBot="1" x14ac:dyDescent="0.3">
      <c r="B27" s="130"/>
      <c r="C27" s="222" t="s">
        <v>121</v>
      </c>
      <c r="D27" s="224"/>
      <c r="E27" s="659">
        <f>SUM(E13:E20,E22:E26,F13:F20,F22:F26)</f>
        <v>0</v>
      </c>
      <c r="F27" s="660"/>
    </row>
    <row r="28" spans="2:14" ht="14.65" customHeight="1" x14ac:dyDescent="0.25">
      <c r="C28"/>
      <c r="D28"/>
      <c r="E28"/>
      <c r="F28"/>
    </row>
    <row r="29" spans="2:14" ht="14.65" customHeight="1" thickBot="1" x14ac:dyDescent="0.3">
      <c r="C29"/>
      <c r="D29"/>
      <c r="E29"/>
      <c r="F29"/>
    </row>
    <row r="30" spans="2:14" ht="14.65" customHeight="1" x14ac:dyDescent="0.25">
      <c r="B30" s="603" t="s">
        <v>9</v>
      </c>
      <c r="C30" s="603" t="s">
        <v>10</v>
      </c>
      <c r="D30" s="647" t="s">
        <v>101</v>
      </c>
      <c r="E30" s="653" t="s">
        <v>102</v>
      </c>
      <c r="F30" s="647" t="s">
        <v>103</v>
      </c>
    </row>
    <row r="31" spans="2:14" ht="14.65" customHeight="1" x14ac:dyDescent="0.25">
      <c r="B31" s="604"/>
      <c r="C31" s="604"/>
      <c r="D31" s="661"/>
      <c r="E31" s="654"/>
      <c r="F31" s="661"/>
    </row>
    <row r="32" spans="2:14" ht="14.65" customHeight="1" thickBot="1" x14ac:dyDescent="0.3">
      <c r="B32" s="605"/>
      <c r="C32" s="605"/>
      <c r="D32" s="648"/>
      <c r="E32" s="655"/>
      <c r="F32" s="648"/>
    </row>
    <row r="33" spans="2:14" ht="14.65" customHeight="1" x14ac:dyDescent="0.25">
      <c r="B33" s="104">
        <f>ÜLDANDMED!D10</f>
        <v>2023</v>
      </c>
      <c r="C33" s="76" t="s">
        <v>104</v>
      </c>
      <c r="D33" s="70" t="s">
        <v>105</v>
      </c>
      <c r="E33" s="148" t="s">
        <v>106</v>
      </c>
      <c r="F33" s="205" t="s">
        <v>106</v>
      </c>
    </row>
    <row r="34" spans="2:14" ht="14.65" customHeight="1" x14ac:dyDescent="0.25">
      <c r="B34" s="82"/>
      <c r="C34" s="81" t="s">
        <v>107</v>
      </c>
      <c r="D34" s="417"/>
      <c r="E34" s="414">
        <f>D34*sõiduauto_bensiin_2023/1000</f>
        <v>0</v>
      </c>
      <c r="F34" s="419"/>
    </row>
    <row r="35" spans="2:14" ht="14.65" customHeight="1" x14ac:dyDescent="0.25">
      <c r="B35" s="82"/>
      <c r="C35" s="81" t="s">
        <v>108</v>
      </c>
      <c r="D35" s="417"/>
      <c r="E35" s="414">
        <f>D35*sõiduauto_diisel_2023/1000</f>
        <v>0</v>
      </c>
      <c r="F35" s="420"/>
    </row>
    <row r="36" spans="2:14" ht="14.65" customHeight="1" x14ac:dyDescent="0.25">
      <c r="B36" s="82"/>
      <c r="C36" s="214" t="s">
        <v>341</v>
      </c>
      <c r="D36" s="418"/>
      <c r="E36" s="414">
        <f>D36*sõiduauto_bioCNG_2023/1000</f>
        <v>0</v>
      </c>
      <c r="F36" s="419"/>
    </row>
    <row r="37" spans="2:14" ht="14.65" customHeight="1" x14ac:dyDescent="0.25">
      <c r="B37" s="82"/>
      <c r="C37" s="214" t="s">
        <v>342</v>
      </c>
      <c r="D37" s="418"/>
      <c r="E37" s="414">
        <f>D37*sõiduauto_CNG_2023/1000</f>
        <v>0</v>
      </c>
      <c r="F37" s="418"/>
    </row>
    <row r="38" spans="2:14" ht="14.65" customHeight="1" x14ac:dyDescent="0.25">
      <c r="B38" s="82"/>
      <c r="C38" s="81" t="s">
        <v>339</v>
      </c>
      <c r="D38" s="418"/>
      <c r="E38" s="414">
        <f>D38*sõiduauto_hübriid_2023/1000</f>
        <v>0</v>
      </c>
      <c r="F38" s="419"/>
    </row>
    <row r="39" spans="2:14" ht="14.65" customHeight="1" x14ac:dyDescent="0.25">
      <c r="B39" s="82"/>
      <c r="C39" s="81" t="s">
        <v>109</v>
      </c>
      <c r="D39" s="418"/>
      <c r="E39" s="414">
        <f>D39*sõiduauto_taastuvelekter/1000</f>
        <v>0</v>
      </c>
      <c r="F39" s="419"/>
    </row>
    <row r="40" spans="2:14" ht="14.65" customHeight="1" x14ac:dyDescent="0.25">
      <c r="B40" s="82"/>
      <c r="C40" s="81" t="s">
        <v>110</v>
      </c>
      <c r="D40" s="418"/>
      <c r="E40" s="414">
        <f>D40*sõiduauto_tavaelekter_2023/1000</f>
        <v>0</v>
      </c>
      <c r="F40" s="419"/>
    </row>
    <row r="41" spans="2:14" ht="14.65" customHeight="1" thickBot="1" x14ac:dyDescent="0.3">
      <c r="B41" s="77"/>
      <c r="C41" s="71" t="s">
        <v>111</v>
      </c>
      <c r="D41" s="397"/>
      <c r="E41" s="414">
        <f>D41*sõiduk_takso_2023/1000</f>
        <v>0</v>
      </c>
      <c r="F41" s="422"/>
    </row>
    <row r="42" spans="2:14" ht="14.65" customHeight="1" x14ac:dyDescent="0.25">
      <c r="B42" s="77"/>
      <c r="C42" s="148" t="s">
        <v>112</v>
      </c>
      <c r="D42" s="70" t="s">
        <v>113</v>
      </c>
      <c r="E42" s="148" t="s">
        <v>106</v>
      </c>
      <c r="F42" s="205" t="s">
        <v>106</v>
      </c>
    </row>
    <row r="43" spans="2:14" ht="14.65" customHeight="1" x14ac:dyDescent="0.25">
      <c r="B43" s="77"/>
      <c r="C43" s="71" t="s">
        <v>114</v>
      </c>
      <c r="D43" s="397"/>
      <c r="E43" s="414">
        <f>D43*sõiduk_buss_kaugliin_2023/1000</f>
        <v>0</v>
      </c>
      <c r="F43" s="397"/>
    </row>
    <row r="44" spans="2:14" ht="14.65" customHeight="1" x14ac:dyDescent="0.25">
      <c r="B44" s="77"/>
      <c r="C44" s="71" t="s">
        <v>117</v>
      </c>
      <c r="D44" s="397"/>
      <c r="E44" s="414">
        <f>D44*sõiduk_diiselrong_2023/1000</f>
        <v>0</v>
      </c>
      <c r="F44" s="397"/>
    </row>
    <row r="45" spans="2:14" ht="14.65" customHeight="1" x14ac:dyDescent="0.25">
      <c r="B45" s="77"/>
      <c r="C45" s="71" t="s">
        <v>118</v>
      </c>
      <c r="D45" s="397"/>
      <c r="E45" s="414">
        <f>D45*sõiduk_elektrirong/1000</f>
        <v>0</v>
      </c>
      <c r="F45" s="397"/>
    </row>
    <row r="46" spans="2:14" ht="14.65" customHeight="1" x14ac:dyDescent="0.25">
      <c r="B46" s="77"/>
      <c r="C46" s="88" t="s">
        <v>119</v>
      </c>
      <c r="D46" s="397"/>
      <c r="E46" s="414">
        <f>D46*sõiduk_laev_2023/1000</f>
        <v>0</v>
      </c>
      <c r="F46" s="397"/>
      <c r="N46" s="49"/>
    </row>
    <row r="47" spans="2:14" ht="14.65" customHeight="1" thickBot="1" x14ac:dyDescent="0.3">
      <c r="B47" s="77"/>
      <c r="C47" s="81" t="s">
        <v>120</v>
      </c>
      <c r="D47" s="397"/>
      <c r="E47" s="414">
        <f>D47*sõiduk_lennuk_2023/1000</f>
        <v>0</v>
      </c>
      <c r="F47" s="397"/>
    </row>
    <row r="48" spans="2:14" ht="14.65" customHeight="1" thickBot="1" x14ac:dyDescent="0.3">
      <c r="B48" s="130"/>
      <c r="C48" s="222" t="s">
        <v>121</v>
      </c>
      <c r="D48" s="224"/>
      <c r="E48" s="659">
        <f>SUM(E34:E41,E43:E47,F34:F41,F43:F47)</f>
        <v>0</v>
      </c>
      <c r="F48" s="660"/>
    </row>
    <row r="49" spans="2:6" ht="14.65" customHeight="1" x14ac:dyDescent="0.25">
      <c r="C49"/>
      <c r="D49"/>
      <c r="E49"/>
      <c r="F49"/>
    </row>
    <row r="50" spans="2:6" ht="14.65" customHeight="1" thickBot="1" x14ac:dyDescent="0.3">
      <c r="C50"/>
      <c r="D50"/>
      <c r="E50"/>
      <c r="F50"/>
    </row>
    <row r="51" spans="2:6" ht="14.65" customHeight="1" x14ac:dyDescent="0.25">
      <c r="B51" s="603" t="s">
        <v>9</v>
      </c>
      <c r="C51" s="603" t="s">
        <v>10</v>
      </c>
      <c r="D51" s="647" t="s">
        <v>101</v>
      </c>
      <c r="E51" s="653" t="s">
        <v>102</v>
      </c>
      <c r="F51" s="647" t="s">
        <v>103</v>
      </c>
    </row>
    <row r="52" spans="2:6" ht="14.65" customHeight="1" x14ac:dyDescent="0.25">
      <c r="B52" s="604"/>
      <c r="C52" s="604"/>
      <c r="D52" s="661"/>
      <c r="E52" s="654"/>
      <c r="F52" s="661"/>
    </row>
    <row r="53" spans="2:6" ht="14.65" customHeight="1" thickBot="1" x14ac:dyDescent="0.3">
      <c r="B53" s="605"/>
      <c r="C53" s="605"/>
      <c r="D53" s="648"/>
      <c r="E53" s="655"/>
      <c r="F53" s="648"/>
    </row>
    <row r="54" spans="2:6" ht="14.65" customHeight="1" x14ac:dyDescent="0.25">
      <c r="B54" s="104">
        <f>ÜLDANDMED!E10</f>
        <v>2024</v>
      </c>
      <c r="C54" s="76" t="s">
        <v>104</v>
      </c>
      <c r="D54" s="70" t="s">
        <v>105</v>
      </c>
      <c r="E54" s="148" t="s">
        <v>106</v>
      </c>
      <c r="F54" s="205" t="s">
        <v>106</v>
      </c>
    </row>
    <row r="55" spans="2:6" ht="14.65" customHeight="1" x14ac:dyDescent="0.25">
      <c r="B55" s="82"/>
      <c r="C55" s="81" t="s">
        <v>107</v>
      </c>
      <c r="D55" s="417"/>
      <c r="E55" s="414">
        <f>D55*sõiduauto_bensiin_2024/1000</f>
        <v>0</v>
      </c>
      <c r="F55" s="419"/>
    </row>
    <row r="56" spans="2:6" ht="14.65" customHeight="1" x14ac:dyDescent="0.25">
      <c r="B56" s="82"/>
      <c r="C56" s="81" t="s">
        <v>108</v>
      </c>
      <c r="D56" s="417"/>
      <c r="E56" s="414">
        <f>D56*sõiduauto_diisel_2024/1000</f>
        <v>0</v>
      </c>
      <c r="F56" s="420"/>
    </row>
    <row r="57" spans="2:6" ht="14.65" customHeight="1" x14ac:dyDescent="0.25">
      <c r="B57" s="82"/>
      <c r="C57" s="214" t="s">
        <v>341</v>
      </c>
      <c r="D57" s="418"/>
      <c r="E57" s="414">
        <f>D57*sõiduauto_bioCNG_2024/1000</f>
        <v>0</v>
      </c>
      <c r="F57" s="419"/>
    </row>
    <row r="58" spans="2:6" ht="14.65" customHeight="1" x14ac:dyDescent="0.25">
      <c r="B58" s="82"/>
      <c r="C58" s="214" t="s">
        <v>342</v>
      </c>
      <c r="D58" s="418"/>
      <c r="E58" s="414">
        <f>D58*sõiduauto_CNG_2024/1000</f>
        <v>0</v>
      </c>
      <c r="F58" s="418"/>
    </row>
    <row r="59" spans="2:6" ht="14.65" customHeight="1" x14ac:dyDescent="0.25">
      <c r="B59" s="82"/>
      <c r="C59" s="81" t="s">
        <v>339</v>
      </c>
      <c r="D59" s="418"/>
      <c r="E59" s="414">
        <f>D59*sõiduauto_hübriid_2024/1000</f>
        <v>0</v>
      </c>
      <c r="F59" s="419"/>
    </row>
    <row r="60" spans="2:6" ht="14.65" customHeight="1" x14ac:dyDescent="0.25">
      <c r="B60" s="82"/>
      <c r="C60" s="81" t="s">
        <v>109</v>
      </c>
      <c r="D60" s="418"/>
      <c r="E60" s="414">
        <f>D60*sõiduauto_taastuvelekter/1000</f>
        <v>0</v>
      </c>
      <c r="F60" s="419"/>
    </row>
    <row r="61" spans="2:6" ht="14.65" customHeight="1" x14ac:dyDescent="0.25">
      <c r="B61" s="82"/>
      <c r="C61" s="81" t="s">
        <v>110</v>
      </c>
      <c r="D61" s="418"/>
      <c r="E61" s="414">
        <f>D61*sõiduauto_tavaelekter_2024/1000</f>
        <v>0</v>
      </c>
      <c r="F61" s="419"/>
    </row>
    <row r="62" spans="2:6" ht="14.65" customHeight="1" thickBot="1" x14ac:dyDescent="0.3">
      <c r="B62" s="77"/>
      <c r="C62" s="71" t="s">
        <v>111</v>
      </c>
      <c r="D62" s="397"/>
      <c r="E62" s="414">
        <f>D62*sõiduk_takso_2024/1000</f>
        <v>0</v>
      </c>
      <c r="F62" s="422"/>
    </row>
    <row r="63" spans="2:6" ht="14.65" customHeight="1" x14ac:dyDescent="0.25">
      <c r="B63" s="77"/>
      <c r="C63" s="148" t="s">
        <v>112</v>
      </c>
      <c r="D63" s="70" t="s">
        <v>113</v>
      </c>
      <c r="E63" s="148" t="s">
        <v>106</v>
      </c>
      <c r="F63" s="205" t="s">
        <v>106</v>
      </c>
    </row>
    <row r="64" spans="2:6" ht="14.65" customHeight="1" x14ac:dyDescent="0.25">
      <c r="B64" s="77"/>
      <c r="C64" s="71" t="s">
        <v>114</v>
      </c>
      <c r="D64" s="397"/>
      <c r="E64" s="414">
        <f>D64*sõiduk_buss_kaugliin_2024/1000</f>
        <v>0</v>
      </c>
      <c r="F64" s="397"/>
    </row>
    <row r="65" spans="2:14" ht="14.65" customHeight="1" x14ac:dyDescent="0.25">
      <c r="B65" s="77"/>
      <c r="C65" s="71" t="s">
        <v>117</v>
      </c>
      <c r="D65" s="397"/>
      <c r="E65" s="414">
        <f>D65*sõiduk_diiselrong_2024/1000</f>
        <v>0</v>
      </c>
      <c r="F65" s="397"/>
    </row>
    <row r="66" spans="2:14" ht="14.65" customHeight="1" x14ac:dyDescent="0.25">
      <c r="B66" s="77"/>
      <c r="C66" s="71" t="s">
        <v>118</v>
      </c>
      <c r="D66" s="397"/>
      <c r="E66" s="414">
        <f>D66*sõiduk_elektrirong/1000</f>
        <v>0</v>
      </c>
      <c r="F66" s="397"/>
    </row>
    <row r="67" spans="2:14" ht="14.65" customHeight="1" x14ac:dyDescent="0.25">
      <c r="B67" s="77"/>
      <c r="C67" s="88" t="s">
        <v>119</v>
      </c>
      <c r="D67" s="397"/>
      <c r="E67" s="414">
        <f>D67*sõiduk_laev_2024/1000</f>
        <v>0</v>
      </c>
      <c r="F67" s="397"/>
      <c r="N67" s="49"/>
    </row>
    <row r="68" spans="2:14" ht="14.65" customHeight="1" thickBot="1" x14ac:dyDescent="0.3">
      <c r="B68" s="77"/>
      <c r="C68" s="81" t="s">
        <v>120</v>
      </c>
      <c r="D68" s="397"/>
      <c r="E68" s="414">
        <f>D68*sõiduk_lennuk_2024/1000</f>
        <v>0</v>
      </c>
      <c r="F68" s="397"/>
    </row>
    <row r="69" spans="2:14" ht="14.65" customHeight="1" thickBot="1" x14ac:dyDescent="0.3">
      <c r="B69" s="130"/>
      <c r="C69" s="222" t="s">
        <v>121</v>
      </c>
      <c r="D69" s="224"/>
      <c r="E69" s="659">
        <f>SUM(E55:E62,E64:E68,F55:F62,F64:F68)</f>
        <v>0</v>
      </c>
      <c r="F69" s="660"/>
    </row>
    <row r="70" spans="2:14" ht="14.65" customHeight="1" x14ac:dyDescent="0.25">
      <c r="C70"/>
      <c r="D70"/>
      <c r="E70"/>
      <c r="F70"/>
    </row>
    <row r="71" spans="2:14" ht="14.65" customHeight="1" thickBot="1" x14ac:dyDescent="0.3">
      <c r="C71"/>
      <c r="D71"/>
      <c r="E71"/>
      <c r="F71"/>
    </row>
    <row r="72" spans="2:14" ht="14.65" customHeight="1" x14ac:dyDescent="0.25">
      <c r="B72" s="603" t="s">
        <v>9</v>
      </c>
      <c r="C72" s="603" t="s">
        <v>10</v>
      </c>
      <c r="D72" s="647" t="s">
        <v>101</v>
      </c>
      <c r="E72" s="653" t="s">
        <v>102</v>
      </c>
      <c r="F72" s="647" t="s">
        <v>103</v>
      </c>
    </row>
    <row r="73" spans="2:14" ht="14.65" customHeight="1" x14ac:dyDescent="0.25">
      <c r="B73" s="604"/>
      <c r="C73" s="604"/>
      <c r="D73" s="661"/>
      <c r="E73" s="654"/>
      <c r="F73" s="661"/>
    </row>
    <row r="74" spans="2:14" ht="14.65" customHeight="1" thickBot="1" x14ac:dyDescent="0.3">
      <c r="B74" s="605"/>
      <c r="C74" s="605"/>
      <c r="D74" s="648"/>
      <c r="E74" s="655"/>
      <c r="F74" s="648"/>
    </row>
    <row r="75" spans="2:14" ht="14.65" customHeight="1" x14ac:dyDescent="0.25">
      <c r="B75" s="104">
        <f>ÜLDANDMED!F10</f>
        <v>2025</v>
      </c>
      <c r="C75" s="76" t="s">
        <v>104</v>
      </c>
      <c r="D75" s="70" t="s">
        <v>105</v>
      </c>
      <c r="E75" s="148" t="s">
        <v>106</v>
      </c>
      <c r="F75" s="205" t="s">
        <v>106</v>
      </c>
    </row>
    <row r="76" spans="2:14" ht="14.65" customHeight="1" x14ac:dyDescent="0.25">
      <c r="B76" s="82"/>
      <c r="C76" s="81" t="s">
        <v>107</v>
      </c>
      <c r="D76" s="417"/>
      <c r="E76" s="414">
        <f>D76*sõiduauto_bensiin_2025/1000</f>
        <v>0</v>
      </c>
      <c r="F76" s="419"/>
    </row>
    <row r="77" spans="2:14" ht="14.65" customHeight="1" x14ac:dyDescent="0.25">
      <c r="B77" s="82"/>
      <c r="C77" s="81" t="s">
        <v>108</v>
      </c>
      <c r="D77" s="417"/>
      <c r="E77" s="414">
        <f>D77*sõiduauto_diisel_2025/1000</f>
        <v>0</v>
      </c>
      <c r="F77" s="420"/>
    </row>
    <row r="78" spans="2:14" ht="14.65" customHeight="1" x14ac:dyDescent="0.25">
      <c r="B78" s="82"/>
      <c r="C78" s="214" t="s">
        <v>341</v>
      </c>
      <c r="D78" s="418"/>
      <c r="E78" s="414">
        <f>D78*sõiduauto_bioCNG_2025/1000</f>
        <v>0</v>
      </c>
      <c r="F78" s="419"/>
    </row>
    <row r="79" spans="2:14" ht="14.65" customHeight="1" x14ac:dyDescent="0.25">
      <c r="B79" s="82"/>
      <c r="C79" s="214" t="s">
        <v>342</v>
      </c>
      <c r="D79" s="418"/>
      <c r="E79" s="414">
        <f>D79*sõiduauto_CNG_2025/1000</f>
        <v>0</v>
      </c>
      <c r="F79" s="418"/>
    </row>
    <row r="80" spans="2:14" ht="14.65" customHeight="1" x14ac:dyDescent="0.25">
      <c r="B80" s="82"/>
      <c r="C80" s="81" t="s">
        <v>339</v>
      </c>
      <c r="D80" s="418"/>
      <c r="E80" s="414">
        <f>D80*sõiduauto_hübriid_2025/1000</f>
        <v>0</v>
      </c>
      <c r="F80" s="419"/>
    </row>
    <row r="81" spans="2:14" ht="14.65" customHeight="1" x14ac:dyDescent="0.25">
      <c r="B81" s="82"/>
      <c r="C81" s="81" t="s">
        <v>109</v>
      </c>
      <c r="D81" s="418"/>
      <c r="E81" s="414">
        <f>D81*sõiduauto_taastuvelekter/1000</f>
        <v>0</v>
      </c>
      <c r="F81" s="419"/>
    </row>
    <row r="82" spans="2:14" ht="14.65" customHeight="1" x14ac:dyDescent="0.25">
      <c r="B82" s="82"/>
      <c r="C82" s="81" t="s">
        <v>110</v>
      </c>
      <c r="D82" s="418"/>
      <c r="E82" s="414">
        <f>D82*sõiduauto_tavaelekter_2025/1000</f>
        <v>0</v>
      </c>
      <c r="F82" s="419"/>
    </row>
    <row r="83" spans="2:14" ht="14.65" customHeight="1" thickBot="1" x14ac:dyDescent="0.3">
      <c r="B83" s="77"/>
      <c r="C83" s="71" t="s">
        <v>111</v>
      </c>
      <c r="D83" s="397"/>
      <c r="E83" s="414">
        <f>D83*sõiduk_takso_2025/1000</f>
        <v>0</v>
      </c>
      <c r="F83" s="422"/>
    </row>
    <row r="84" spans="2:14" ht="14.65" customHeight="1" x14ac:dyDescent="0.25">
      <c r="B84" s="77"/>
      <c r="C84" s="148" t="s">
        <v>112</v>
      </c>
      <c r="D84" s="70" t="s">
        <v>113</v>
      </c>
      <c r="E84" s="148" t="s">
        <v>106</v>
      </c>
      <c r="F84" s="205" t="s">
        <v>106</v>
      </c>
    </row>
    <row r="85" spans="2:14" ht="14.65" customHeight="1" x14ac:dyDescent="0.25">
      <c r="B85" s="77"/>
      <c r="C85" s="71" t="s">
        <v>114</v>
      </c>
      <c r="D85" s="397"/>
      <c r="E85" s="414">
        <f>D85*sõiduk_buss_kaugliin_2025/1000</f>
        <v>0</v>
      </c>
      <c r="F85" s="397"/>
    </row>
    <row r="86" spans="2:14" ht="14.65" customHeight="1" x14ac:dyDescent="0.25">
      <c r="B86" s="77"/>
      <c r="C86" s="71" t="s">
        <v>117</v>
      </c>
      <c r="D86" s="397"/>
      <c r="E86" s="414">
        <f>D86*sõiduk_diiselrong_2025/1000</f>
        <v>0</v>
      </c>
      <c r="F86" s="397"/>
    </row>
    <row r="87" spans="2:14" ht="14.65" customHeight="1" x14ac:dyDescent="0.25">
      <c r="B87" s="77"/>
      <c r="C87" s="71" t="s">
        <v>118</v>
      </c>
      <c r="D87" s="397"/>
      <c r="E87" s="414">
        <f>D87*sõiduk_elektrirong/1000</f>
        <v>0</v>
      </c>
      <c r="F87" s="397"/>
    </row>
    <row r="88" spans="2:14" ht="14.65" customHeight="1" x14ac:dyDescent="0.25">
      <c r="B88" s="77"/>
      <c r="C88" s="88" t="s">
        <v>119</v>
      </c>
      <c r="D88" s="397"/>
      <c r="E88" s="414">
        <f>D88*sõiduk_laev_2025/1000</f>
        <v>0</v>
      </c>
      <c r="F88" s="397"/>
      <c r="N88" s="49"/>
    </row>
    <row r="89" spans="2:14" ht="14.65" customHeight="1" thickBot="1" x14ac:dyDescent="0.3">
      <c r="B89" s="77"/>
      <c r="C89" s="81" t="s">
        <v>120</v>
      </c>
      <c r="D89" s="397"/>
      <c r="E89" s="414">
        <f>D89*sõiduk_lennuk_2025/1000</f>
        <v>0</v>
      </c>
      <c r="F89" s="397"/>
    </row>
    <row r="90" spans="2:14" ht="14.65" customHeight="1" thickBot="1" x14ac:dyDescent="0.3">
      <c r="B90" s="130"/>
      <c r="C90" s="222" t="s">
        <v>121</v>
      </c>
      <c r="D90" s="224"/>
      <c r="E90" s="659">
        <f>SUM(E76:E83,E85:E89,F76:F83,F85:F89)</f>
        <v>0</v>
      </c>
      <c r="F90" s="660"/>
    </row>
    <row r="91" spans="2:14" ht="14.65" customHeight="1" x14ac:dyDescent="0.25">
      <c r="C91"/>
      <c r="D91"/>
      <c r="E91"/>
      <c r="F91"/>
    </row>
    <row r="92" spans="2:14" ht="14.65" customHeight="1" thickBot="1" x14ac:dyDescent="0.3">
      <c r="C92"/>
      <c r="D92"/>
      <c r="E92"/>
      <c r="F92"/>
    </row>
    <row r="93" spans="2:14" ht="14.65" customHeight="1" x14ac:dyDescent="0.25">
      <c r="B93" s="603" t="s">
        <v>9</v>
      </c>
      <c r="C93" s="603" t="s">
        <v>10</v>
      </c>
      <c r="D93" s="647" t="s">
        <v>101</v>
      </c>
      <c r="E93" s="653" t="s">
        <v>102</v>
      </c>
      <c r="F93" s="647" t="s">
        <v>103</v>
      </c>
    </row>
    <row r="94" spans="2:14" ht="14.65" customHeight="1" x14ac:dyDescent="0.25">
      <c r="B94" s="604"/>
      <c r="C94" s="604"/>
      <c r="D94" s="661"/>
      <c r="E94" s="654"/>
      <c r="F94" s="661"/>
    </row>
    <row r="95" spans="2:14" ht="14.65" customHeight="1" thickBot="1" x14ac:dyDescent="0.3">
      <c r="B95" s="605"/>
      <c r="C95" s="605"/>
      <c r="D95" s="648"/>
      <c r="E95" s="655"/>
      <c r="F95" s="648"/>
    </row>
    <row r="96" spans="2:14" ht="14.65" customHeight="1" x14ac:dyDescent="0.25">
      <c r="B96" s="104">
        <f>ÜLDANDMED!G10</f>
        <v>2026</v>
      </c>
      <c r="C96" s="76" t="s">
        <v>104</v>
      </c>
      <c r="D96" s="70" t="s">
        <v>105</v>
      </c>
      <c r="E96" s="148" t="s">
        <v>106</v>
      </c>
      <c r="F96" s="205" t="s">
        <v>106</v>
      </c>
    </row>
    <row r="97" spans="2:14" ht="14.65" customHeight="1" x14ac:dyDescent="0.25">
      <c r="B97" s="82"/>
      <c r="C97" s="81" t="s">
        <v>107</v>
      </c>
      <c r="D97" s="417"/>
      <c r="E97" s="414">
        <f>D97*sõiduauto_bensiin_2026/1000</f>
        <v>0</v>
      </c>
      <c r="F97" s="419"/>
    </row>
    <row r="98" spans="2:14" ht="14.65" customHeight="1" x14ac:dyDescent="0.25">
      <c r="B98" s="82"/>
      <c r="C98" s="81" t="s">
        <v>108</v>
      </c>
      <c r="D98" s="417"/>
      <c r="E98" s="414">
        <f>D98*sõiduauto_diisel_2026/1000</f>
        <v>0</v>
      </c>
      <c r="F98" s="420"/>
    </row>
    <row r="99" spans="2:14" ht="14.65" customHeight="1" x14ac:dyDescent="0.25">
      <c r="B99" s="82"/>
      <c r="C99" s="214" t="s">
        <v>341</v>
      </c>
      <c r="D99" s="418"/>
      <c r="E99" s="414">
        <f>D99*sõiduauto_bioCNG_2026/1000</f>
        <v>0</v>
      </c>
      <c r="F99" s="419"/>
    </row>
    <row r="100" spans="2:14" ht="14.65" customHeight="1" x14ac:dyDescent="0.25">
      <c r="B100" s="82"/>
      <c r="C100" s="214" t="s">
        <v>342</v>
      </c>
      <c r="D100" s="418"/>
      <c r="E100" s="414">
        <f>D100*sõiduauto_CNG_2026/1000</f>
        <v>0</v>
      </c>
      <c r="F100" s="418"/>
    </row>
    <row r="101" spans="2:14" ht="14.65" customHeight="1" x14ac:dyDescent="0.25">
      <c r="B101" s="82"/>
      <c r="C101" s="81" t="s">
        <v>339</v>
      </c>
      <c r="D101" s="418"/>
      <c r="E101" s="414">
        <f>D101*sõiduauto_hübriid_2026/1000</f>
        <v>0</v>
      </c>
      <c r="F101" s="419"/>
    </row>
    <row r="102" spans="2:14" ht="14.65" customHeight="1" x14ac:dyDescent="0.25">
      <c r="B102" s="82"/>
      <c r="C102" s="81" t="s">
        <v>109</v>
      </c>
      <c r="D102" s="418"/>
      <c r="E102" s="414">
        <f>D102*sõiduauto_taastuvelekter/1000</f>
        <v>0</v>
      </c>
      <c r="F102" s="419"/>
    </row>
    <row r="103" spans="2:14" ht="14.65" customHeight="1" x14ac:dyDescent="0.25">
      <c r="B103" s="82"/>
      <c r="C103" s="81" t="s">
        <v>110</v>
      </c>
      <c r="D103" s="418"/>
      <c r="E103" s="414">
        <f>D103*sõiduauto_tavaelekter_2026/1000</f>
        <v>0</v>
      </c>
      <c r="F103" s="419"/>
    </row>
    <row r="104" spans="2:14" ht="14.65" customHeight="1" thickBot="1" x14ac:dyDescent="0.3">
      <c r="B104" s="77"/>
      <c r="C104" s="71" t="s">
        <v>111</v>
      </c>
      <c r="D104" s="397"/>
      <c r="E104" s="414">
        <f>D104*sõiduk_takso_2026/1000</f>
        <v>0</v>
      </c>
      <c r="F104" s="422"/>
    </row>
    <row r="105" spans="2:14" ht="14.65" customHeight="1" x14ac:dyDescent="0.25">
      <c r="B105" s="77"/>
      <c r="C105" s="148" t="s">
        <v>112</v>
      </c>
      <c r="D105" s="70" t="s">
        <v>113</v>
      </c>
      <c r="E105" s="148" t="s">
        <v>106</v>
      </c>
      <c r="F105" s="205" t="s">
        <v>106</v>
      </c>
    </row>
    <row r="106" spans="2:14" ht="14.65" customHeight="1" x14ac:dyDescent="0.25">
      <c r="B106" s="77"/>
      <c r="C106" s="71" t="s">
        <v>114</v>
      </c>
      <c r="D106" s="397"/>
      <c r="E106" s="414">
        <f>D106*sõiduk_buss_kaugliin_2026/1000</f>
        <v>0</v>
      </c>
      <c r="F106" s="397"/>
    </row>
    <row r="107" spans="2:14" ht="14.65" customHeight="1" x14ac:dyDescent="0.25">
      <c r="B107" s="77"/>
      <c r="C107" s="71" t="s">
        <v>117</v>
      </c>
      <c r="D107" s="397"/>
      <c r="E107" s="414">
        <f>D107*sõiduk_diiselrong_2026/1000</f>
        <v>0</v>
      </c>
      <c r="F107" s="397"/>
    </row>
    <row r="108" spans="2:14" ht="14.65" customHeight="1" x14ac:dyDescent="0.25">
      <c r="B108" s="77"/>
      <c r="C108" s="71" t="s">
        <v>118</v>
      </c>
      <c r="D108" s="397"/>
      <c r="E108" s="414">
        <f>D108*sõiduk_elektrirong/1000</f>
        <v>0</v>
      </c>
      <c r="F108" s="397"/>
    </row>
    <row r="109" spans="2:14" ht="14.65" customHeight="1" x14ac:dyDescent="0.25">
      <c r="B109" s="77"/>
      <c r="C109" s="88" t="s">
        <v>119</v>
      </c>
      <c r="D109" s="397"/>
      <c r="E109" s="414">
        <f>D109*sõiduk_laev_2026/1000</f>
        <v>0</v>
      </c>
      <c r="F109" s="397"/>
      <c r="N109" s="49"/>
    </row>
    <row r="110" spans="2:14" ht="14.65" customHeight="1" thickBot="1" x14ac:dyDescent="0.3">
      <c r="B110" s="77"/>
      <c r="C110" s="81" t="s">
        <v>120</v>
      </c>
      <c r="D110" s="397"/>
      <c r="E110" s="414">
        <f>D110*sõiduk_lennuk_2026/1000</f>
        <v>0</v>
      </c>
      <c r="F110" s="397"/>
    </row>
    <row r="111" spans="2:14" ht="14.65" customHeight="1" thickBot="1" x14ac:dyDescent="0.3">
      <c r="B111" s="130"/>
      <c r="C111" s="222" t="s">
        <v>121</v>
      </c>
      <c r="D111" s="224"/>
      <c r="E111" s="659">
        <f>SUM(E97:E104,E106:E110,F97:F104,F106:F110)</f>
        <v>0</v>
      </c>
      <c r="F111" s="660"/>
    </row>
    <row r="112" spans="2:14" ht="14.65" customHeight="1" x14ac:dyDescent="0.25">
      <c r="C112"/>
      <c r="D112"/>
      <c r="E112"/>
      <c r="F112"/>
    </row>
    <row r="113" spans="2:6" ht="14.65" customHeight="1" thickBot="1" x14ac:dyDescent="0.3">
      <c r="C113"/>
      <c r="D113"/>
      <c r="E113"/>
      <c r="F113"/>
    </row>
    <row r="114" spans="2:6" ht="14.65" customHeight="1" x14ac:dyDescent="0.25">
      <c r="B114" s="603" t="s">
        <v>9</v>
      </c>
      <c r="C114" s="603" t="s">
        <v>10</v>
      </c>
      <c r="D114" s="647" t="s">
        <v>101</v>
      </c>
      <c r="E114" s="653" t="s">
        <v>102</v>
      </c>
      <c r="F114" s="647" t="s">
        <v>103</v>
      </c>
    </row>
    <row r="115" spans="2:6" ht="14.65" customHeight="1" x14ac:dyDescent="0.25">
      <c r="B115" s="604"/>
      <c r="C115" s="604"/>
      <c r="D115" s="661"/>
      <c r="E115" s="654"/>
      <c r="F115" s="661"/>
    </row>
    <row r="116" spans="2:6" ht="14.65" customHeight="1" thickBot="1" x14ac:dyDescent="0.3">
      <c r="B116" s="605"/>
      <c r="C116" s="605"/>
      <c r="D116" s="648"/>
      <c r="E116" s="655"/>
      <c r="F116" s="648"/>
    </row>
    <row r="117" spans="2:6" ht="14.65" customHeight="1" x14ac:dyDescent="0.25">
      <c r="B117" s="151">
        <f>ÜLDANDMED!H10</f>
        <v>2027</v>
      </c>
      <c r="C117" s="76" t="s">
        <v>104</v>
      </c>
      <c r="D117" s="70" t="s">
        <v>105</v>
      </c>
      <c r="E117" s="148" t="s">
        <v>106</v>
      </c>
      <c r="F117" s="205" t="s">
        <v>106</v>
      </c>
    </row>
    <row r="118" spans="2:6" ht="14.65" customHeight="1" x14ac:dyDescent="0.25">
      <c r="B118" s="83"/>
      <c r="C118" s="81" t="s">
        <v>107</v>
      </c>
      <c r="D118" s="417"/>
      <c r="E118" s="414">
        <f>D118*sõiduauto_bensiin_2027/1000</f>
        <v>0</v>
      </c>
      <c r="F118" s="419"/>
    </row>
    <row r="119" spans="2:6" ht="14.65" customHeight="1" x14ac:dyDescent="0.25">
      <c r="B119" s="83"/>
      <c r="C119" s="81" t="s">
        <v>108</v>
      </c>
      <c r="D119" s="417"/>
      <c r="E119" s="414">
        <f>D119*sõiduauto_diisel_2027/1000</f>
        <v>0</v>
      </c>
      <c r="F119" s="420"/>
    </row>
    <row r="120" spans="2:6" ht="14.65" customHeight="1" x14ac:dyDescent="0.25">
      <c r="B120" s="83"/>
      <c r="C120" s="81" t="s">
        <v>341</v>
      </c>
      <c r="D120" s="418"/>
      <c r="E120" s="414">
        <f>D120*sõiduauto_bioCNG_2027/1000</f>
        <v>0</v>
      </c>
      <c r="F120" s="419"/>
    </row>
    <row r="121" spans="2:6" ht="14.65" customHeight="1" x14ac:dyDescent="0.25">
      <c r="B121" s="82"/>
      <c r="C121" s="214" t="s">
        <v>342</v>
      </c>
      <c r="D121" s="418"/>
      <c r="E121" s="414">
        <f>D121*sõiduauto_CNG_2027/1000</f>
        <v>0</v>
      </c>
      <c r="F121" s="418"/>
    </row>
    <row r="122" spans="2:6" ht="14.65" customHeight="1" x14ac:dyDescent="0.25">
      <c r="B122" s="83"/>
      <c r="C122" s="81" t="s">
        <v>339</v>
      </c>
      <c r="D122" s="418"/>
      <c r="E122" s="414">
        <f>D122*sõiduauto_hübriid_2027/1000</f>
        <v>0</v>
      </c>
      <c r="F122" s="419"/>
    </row>
    <row r="123" spans="2:6" ht="14.65" customHeight="1" x14ac:dyDescent="0.25">
      <c r="B123" s="83"/>
      <c r="C123" s="81" t="s">
        <v>109</v>
      </c>
      <c r="D123" s="418"/>
      <c r="E123" s="414">
        <f>D123*sõiduauto_taastuvelekter/1000</f>
        <v>0</v>
      </c>
      <c r="F123" s="419"/>
    </row>
    <row r="124" spans="2:6" ht="14.65" customHeight="1" x14ac:dyDescent="0.25">
      <c r="B124" s="83"/>
      <c r="C124" s="81" t="s">
        <v>110</v>
      </c>
      <c r="D124" s="418"/>
      <c r="E124" s="414">
        <f>D124*sõiduauto_tavaelekter_2027/1000</f>
        <v>0</v>
      </c>
      <c r="F124" s="419"/>
    </row>
    <row r="125" spans="2:6" ht="14.65" customHeight="1" thickBot="1" x14ac:dyDescent="0.3">
      <c r="B125" s="85"/>
      <c r="C125" s="71" t="s">
        <v>111</v>
      </c>
      <c r="D125" s="397"/>
      <c r="E125" s="414">
        <f>D125*sõiduk_takso_2027/1000</f>
        <v>0</v>
      </c>
      <c r="F125" s="422"/>
    </row>
    <row r="126" spans="2:6" ht="14.65" customHeight="1" x14ac:dyDescent="0.25">
      <c r="B126" s="85"/>
      <c r="C126" s="148" t="s">
        <v>112</v>
      </c>
      <c r="D126" s="70" t="s">
        <v>113</v>
      </c>
      <c r="E126" s="148" t="s">
        <v>106</v>
      </c>
      <c r="F126" s="205" t="s">
        <v>106</v>
      </c>
    </row>
    <row r="127" spans="2:6" ht="14.65" customHeight="1" x14ac:dyDescent="0.25">
      <c r="B127" s="85"/>
      <c r="C127" s="71" t="s">
        <v>114</v>
      </c>
      <c r="D127" s="397"/>
      <c r="E127" s="414">
        <f>D127*sõiduk_buss_kaugliin_2027/1000</f>
        <v>0</v>
      </c>
      <c r="F127" s="397"/>
    </row>
    <row r="128" spans="2:6" ht="14.65" customHeight="1" x14ac:dyDescent="0.25">
      <c r="B128" s="85"/>
      <c r="C128" s="71" t="s">
        <v>117</v>
      </c>
      <c r="D128" s="397"/>
      <c r="E128" s="414">
        <f>D128*sõiduk_diiselrong_2027/1000</f>
        <v>0</v>
      </c>
      <c r="F128" s="397"/>
    </row>
    <row r="129" spans="2:14" ht="14.65" customHeight="1" x14ac:dyDescent="0.25">
      <c r="B129" s="85"/>
      <c r="C129" s="71" t="s">
        <v>118</v>
      </c>
      <c r="D129" s="397"/>
      <c r="E129" s="414">
        <f>D129*sõiduk_elektrirong/1000</f>
        <v>0</v>
      </c>
      <c r="F129" s="397"/>
    </row>
    <row r="130" spans="2:14" ht="14.65" customHeight="1" x14ac:dyDescent="0.25">
      <c r="B130" s="85"/>
      <c r="C130" s="88" t="s">
        <v>119</v>
      </c>
      <c r="D130" s="397"/>
      <c r="E130" s="414">
        <f>D130*sõiduk_laev_2027/1000</f>
        <v>0</v>
      </c>
      <c r="F130" s="397"/>
      <c r="N130" s="49"/>
    </row>
    <row r="131" spans="2:14" ht="14.65" customHeight="1" thickBot="1" x14ac:dyDescent="0.3">
      <c r="B131" s="85"/>
      <c r="C131" s="81" t="s">
        <v>120</v>
      </c>
      <c r="D131" s="397"/>
      <c r="E131" s="414">
        <f>D131*sõiduk_lennuk_2027/1000</f>
        <v>0</v>
      </c>
      <c r="F131" s="397"/>
    </row>
    <row r="132" spans="2:14" ht="14.65" customHeight="1" thickBot="1" x14ac:dyDescent="0.3">
      <c r="B132" s="130"/>
      <c r="C132" s="222" t="s">
        <v>121</v>
      </c>
      <c r="D132" s="224"/>
      <c r="E132" s="659">
        <f>SUM(E118:E125,E127:E131,F118:F125,F127:F131)</f>
        <v>0</v>
      </c>
      <c r="F132" s="660"/>
    </row>
    <row r="133" spans="2:14" ht="14.65" customHeight="1" x14ac:dyDescent="0.25">
      <c r="C133"/>
      <c r="D133"/>
      <c r="E133"/>
      <c r="F133"/>
    </row>
    <row r="134" spans="2:14" ht="14.65" customHeight="1" thickBot="1" x14ac:dyDescent="0.3">
      <c r="C134"/>
      <c r="D134"/>
      <c r="E134"/>
      <c r="F134"/>
    </row>
    <row r="135" spans="2:14" ht="14.65" customHeight="1" x14ac:dyDescent="0.25">
      <c r="B135" s="603" t="s">
        <v>9</v>
      </c>
      <c r="C135" s="603" t="s">
        <v>10</v>
      </c>
      <c r="D135" s="647" t="s">
        <v>101</v>
      </c>
      <c r="E135" s="653" t="s">
        <v>102</v>
      </c>
      <c r="F135" s="647" t="s">
        <v>103</v>
      </c>
    </row>
    <row r="136" spans="2:14" ht="14.65" customHeight="1" x14ac:dyDescent="0.25">
      <c r="B136" s="604"/>
      <c r="C136" s="604"/>
      <c r="D136" s="661"/>
      <c r="E136" s="654"/>
      <c r="F136" s="661"/>
    </row>
    <row r="137" spans="2:14" ht="14.65" customHeight="1" thickBot="1" x14ac:dyDescent="0.3">
      <c r="B137" s="605"/>
      <c r="C137" s="605"/>
      <c r="D137" s="648"/>
      <c r="E137" s="655"/>
      <c r="F137" s="648"/>
    </row>
    <row r="138" spans="2:14" ht="14.65" customHeight="1" x14ac:dyDescent="0.25">
      <c r="B138" s="89">
        <f>ÜLDANDMED!I10</f>
        <v>2028</v>
      </c>
      <c r="C138" s="76" t="s">
        <v>104</v>
      </c>
      <c r="D138" s="70" t="s">
        <v>105</v>
      </c>
      <c r="E138" s="148" t="s">
        <v>106</v>
      </c>
      <c r="F138" s="205" t="s">
        <v>106</v>
      </c>
    </row>
    <row r="139" spans="2:14" ht="14.65" customHeight="1" x14ac:dyDescent="0.25">
      <c r="B139" s="83"/>
      <c r="C139" s="81" t="s">
        <v>107</v>
      </c>
      <c r="D139" s="417"/>
      <c r="E139" s="414">
        <f>D139*sõiduauto_bensiin_2028/1000</f>
        <v>0</v>
      </c>
      <c r="F139" s="419"/>
    </row>
    <row r="140" spans="2:14" ht="14.65" customHeight="1" x14ac:dyDescent="0.25">
      <c r="B140" s="83"/>
      <c r="C140" s="81" t="s">
        <v>108</v>
      </c>
      <c r="D140" s="417"/>
      <c r="E140" s="414">
        <f>D140*sõiduauto_diisel_2028/1000</f>
        <v>0</v>
      </c>
      <c r="F140" s="420"/>
    </row>
    <row r="141" spans="2:14" ht="14.65" customHeight="1" x14ac:dyDescent="0.25">
      <c r="B141" s="83"/>
      <c r="C141" s="81" t="s">
        <v>341</v>
      </c>
      <c r="D141" s="418"/>
      <c r="E141" s="414">
        <f>D141*sõiduauto_bioCNG_2028/1000</f>
        <v>0</v>
      </c>
      <c r="F141" s="419"/>
    </row>
    <row r="142" spans="2:14" ht="14.65" customHeight="1" x14ac:dyDescent="0.25">
      <c r="B142" s="82"/>
      <c r="C142" s="214" t="s">
        <v>342</v>
      </c>
      <c r="D142" s="418"/>
      <c r="E142" s="414">
        <f>D142*sõiduauto_CNG_2028/1000</f>
        <v>0</v>
      </c>
      <c r="F142" s="418"/>
    </row>
    <row r="143" spans="2:14" ht="14.65" customHeight="1" x14ac:dyDescent="0.25">
      <c r="B143" s="83"/>
      <c r="C143" s="81" t="s">
        <v>339</v>
      </c>
      <c r="D143" s="418"/>
      <c r="E143" s="414">
        <f>D143*sõiduauto_hübriid_2028/1000</f>
        <v>0</v>
      </c>
      <c r="F143" s="419"/>
    </row>
    <row r="144" spans="2:14" ht="14.65" customHeight="1" x14ac:dyDescent="0.25">
      <c r="B144" s="83"/>
      <c r="C144" s="81" t="s">
        <v>109</v>
      </c>
      <c r="D144" s="418"/>
      <c r="E144" s="414">
        <f>D144*sõiduauto_taastuvelekter/1000</f>
        <v>0</v>
      </c>
      <c r="F144" s="419"/>
    </row>
    <row r="145" spans="2:14" ht="14.65" customHeight="1" x14ac:dyDescent="0.25">
      <c r="B145" s="83"/>
      <c r="C145" s="81" t="s">
        <v>110</v>
      </c>
      <c r="D145" s="418"/>
      <c r="E145" s="414">
        <f>D145*sõiduauto_tavaelekter_2028/1000</f>
        <v>0</v>
      </c>
      <c r="F145" s="419"/>
    </row>
    <row r="146" spans="2:14" ht="14.65" customHeight="1" thickBot="1" x14ac:dyDescent="0.3">
      <c r="B146" s="85"/>
      <c r="C146" s="71" t="s">
        <v>111</v>
      </c>
      <c r="D146" s="397"/>
      <c r="E146" s="416">
        <f>D146*sõiduk_takso_2028/1000</f>
        <v>0</v>
      </c>
      <c r="F146" s="421"/>
    </row>
    <row r="147" spans="2:14" ht="14.65" customHeight="1" x14ac:dyDescent="0.25">
      <c r="B147" s="85"/>
      <c r="C147" s="148" t="s">
        <v>112</v>
      </c>
      <c r="D147" s="70" t="s">
        <v>113</v>
      </c>
      <c r="E147" s="275" t="s">
        <v>106</v>
      </c>
      <c r="F147" s="205" t="s">
        <v>106</v>
      </c>
    </row>
    <row r="148" spans="2:14" ht="14.65" customHeight="1" x14ac:dyDescent="0.25">
      <c r="B148" s="85"/>
      <c r="C148" s="71" t="s">
        <v>114</v>
      </c>
      <c r="D148" s="397"/>
      <c r="E148" s="414">
        <f>D148*sõiduk_buss_kaugliin_2028/1000</f>
        <v>0</v>
      </c>
      <c r="F148" s="397"/>
    </row>
    <row r="149" spans="2:14" ht="14.65" customHeight="1" x14ac:dyDescent="0.25">
      <c r="B149" s="85"/>
      <c r="C149" s="71" t="s">
        <v>117</v>
      </c>
      <c r="D149" s="397"/>
      <c r="E149" s="414">
        <f>D149*sõiduk_diiselrong_2028/1000</f>
        <v>0</v>
      </c>
      <c r="F149" s="397"/>
    </row>
    <row r="150" spans="2:14" ht="14.65" customHeight="1" x14ac:dyDescent="0.25">
      <c r="B150" s="85"/>
      <c r="C150" s="71" t="s">
        <v>118</v>
      </c>
      <c r="D150" s="397"/>
      <c r="E150" s="414">
        <f>D150*sõiduk_elektrirong/1000</f>
        <v>0</v>
      </c>
      <c r="F150" s="397"/>
    </row>
    <row r="151" spans="2:14" ht="14.65" customHeight="1" x14ac:dyDescent="0.25">
      <c r="B151" s="85"/>
      <c r="C151" s="88" t="s">
        <v>119</v>
      </c>
      <c r="D151" s="397"/>
      <c r="E151" s="414">
        <f>D151*sõiduk_laev_2028/1000</f>
        <v>0</v>
      </c>
      <c r="F151" s="397"/>
      <c r="N151" s="49"/>
    </row>
    <row r="152" spans="2:14" ht="14.65" customHeight="1" thickBot="1" x14ac:dyDescent="0.3">
      <c r="B152" s="85"/>
      <c r="C152" s="81" t="s">
        <v>120</v>
      </c>
      <c r="D152" s="397"/>
      <c r="E152" s="414">
        <f>D152*sõiduk_lennuk_2028/1000</f>
        <v>0</v>
      </c>
      <c r="F152" s="397"/>
    </row>
    <row r="153" spans="2:14" ht="14.65" customHeight="1" thickBot="1" x14ac:dyDescent="0.3">
      <c r="B153" s="130"/>
      <c r="C153" s="222" t="s">
        <v>121</v>
      </c>
      <c r="D153" s="224"/>
      <c r="E153" s="659">
        <f>SUM(E139:E146,E148:E152,F139:F146,F148:F152)</f>
        <v>0</v>
      </c>
      <c r="F153" s="660"/>
    </row>
  </sheetData>
  <mergeCells count="43">
    <mergeCell ref="F9:F11"/>
    <mergeCell ref="E27:F27"/>
    <mergeCell ref="E9:E11"/>
    <mergeCell ref="B30:B32"/>
    <mergeCell ref="C30:C32"/>
    <mergeCell ref="D30:D32"/>
    <mergeCell ref="E30:E32"/>
    <mergeCell ref="F30:F32"/>
    <mergeCell ref="D9:D11"/>
    <mergeCell ref="C9:C11"/>
    <mergeCell ref="B9:B11"/>
    <mergeCell ref="B51:B53"/>
    <mergeCell ref="C51:C53"/>
    <mergeCell ref="D51:D53"/>
    <mergeCell ref="E51:E53"/>
    <mergeCell ref="F51:F53"/>
    <mergeCell ref="B72:B74"/>
    <mergeCell ref="C72:C74"/>
    <mergeCell ref="D72:D74"/>
    <mergeCell ref="E72:E74"/>
    <mergeCell ref="F72:F74"/>
    <mergeCell ref="F114:F116"/>
    <mergeCell ref="B93:B95"/>
    <mergeCell ref="C93:C95"/>
    <mergeCell ref="D93:D95"/>
    <mergeCell ref="E93:E95"/>
    <mergeCell ref="F93:F95"/>
    <mergeCell ref="B3:F3"/>
    <mergeCell ref="E153:F153"/>
    <mergeCell ref="E48:F48"/>
    <mergeCell ref="E69:F69"/>
    <mergeCell ref="E90:F90"/>
    <mergeCell ref="E111:F111"/>
    <mergeCell ref="E132:F132"/>
    <mergeCell ref="B135:B137"/>
    <mergeCell ref="C135:C137"/>
    <mergeCell ref="D135:D137"/>
    <mergeCell ref="E135:E137"/>
    <mergeCell ref="F135:F137"/>
    <mergeCell ref="B114:B116"/>
    <mergeCell ref="C114:C116"/>
    <mergeCell ref="D114:D116"/>
    <mergeCell ref="E114:E116"/>
  </mergeCells>
  <pageMargins left="0.70866141732283472" right="0.70866141732283472" top="0.74803149606299213" bottom="0.74803149606299213" header="0.31496062992125984" footer="0.31496062992125984"/>
  <pageSetup scale="78" fitToHeight="2"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EDD6E-7569-4428-B8D7-32F52FA2B0DE}">
  <sheetPr>
    <tabColor rgb="FFFB8604"/>
    <pageSetUpPr fitToPage="1"/>
  </sheetPr>
  <dimension ref="A1:S189"/>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RowHeight="14.65" customHeight="1" x14ac:dyDescent="0.25"/>
  <cols>
    <col min="1" max="1" width="2.5703125" customWidth="1"/>
    <col min="2" max="2" width="7.5703125" customWidth="1"/>
    <col min="3" max="3" width="46.42578125" style="3" customWidth="1"/>
    <col min="4" max="4" width="17" style="267" customWidth="1"/>
    <col min="5" max="5" width="14.7109375" style="63" customWidth="1"/>
    <col min="6" max="11" width="14.7109375" customWidth="1"/>
  </cols>
  <sheetData>
    <row r="1" spans="1:19" ht="18.600000000000001" customHeight="1" x14ac:dyDescent="0.35">
      <c r="B1" s="28" t="s">
        <v>122</v>
      </c>
      <c r="C1" s="129"/>
    </row>
    <row r="2" spans="1:19" ht="14.65" customHeight="1" x14ac:dyDescent="0.3">
      <c r="C2" s="79"/>
    </row>
    <row r="3" spans="1:19" ht="123" customHeight="1" x14ac:dyDescent="0.25">
      <c r="B3" s="570" t="s">
        <v>362</v>
      </c>
      <c r="C3" s="579"/>
      <c r="D3" s="579"/>
      <c r="E3" s="580"/>
    </row>
    <row r="4" spans="1:19" ht="14.65" customHeight="1" x14ac:dyDescent="0.25">
      <c r="B4" s="169"/>
      <c r="C4" s="169"/>
      <c r="D4" s="268"/>
      <c r="E4" s="219"/>
      <c r="F4" s="169"/>
      <c r="G4" s="169"/>
      <c r="H4" s="169"/>
      <c r="I4" s="169"/>
      <c r="J4" s="169"/>
      <c r="K4" s="169"/>
    </row>
    <row r="5" spans="1:19" ht="14.65" customHeight="1" x14ac:dyDescent="0.25">
      <c r="B5" s="60" t="s">
        <v>123</v>
      </c>
      <c r="C5" s="80"/>
    </row>
    <row r="6" spans="1:19" ht="14.65" customHeight="1" x14ac:dyDescent="0.25">
      <c r="C6" s="377" t="s">
        <v>3</v>
      </c>
    </row>
    <row r="7" spans="1:19" ht="14.65" customHeight="1" x14ac:dyDescent="0.25">
      <c r="A7" s="1"/>
      <c r="C7" s="363" t="s">
        <v>4</v>
      </c>
      <c r="D7" s="269"/>
      <c r="E7" s="65"/>
      <c r="F7" s="3"/>
      <c r="G7" s="3"/>
      <c r="H7" s="3"/>
      <c r="I7" s="3"/>
      <c r="S7" s="66"/>
    </row>
    <row r="8" spans="1:19" ht="14.65" customHeight="1" thickBot="1" x14ac:dyDescent="0.3">
      <c r="B8" s="169"/>
      <c r="C8" s="169"/>
      <c r="D8" s="268"/>
      <c r="E8" s="219"/>
      <c r="F8" s="169"/>
      <c r="G8" s="169"/>
      <c r="H8" s="169"/>
      <c r="I8" s="169"/>
      <c r="J8" s="169"/>
      <c r="K8" s="169"/>
    </row>
    <row r="9" spans="1:19" ht="14.65" customHeight="1" x14ac:dyDescent="0.25">
      <c r="B9" s="603" t="s">
        <v>9</v>
      </c>
      <c r="C9" s="603" t="s">
        <v>10</v>
      </c>
      <c r="D9" s="662" t="s">
        <v>124</v>
      </c>
      <c r="E9" s="653" t="s">
        <v>125</v>
      </c>
    </row>
    <row r="10" spans="1:19" ht="27" customHeight="1" thickBot="1" x14ac:dyDescent="0.3">
      <c r="B10" s="605"/>
      <c r="C10" s="605"/>
      <c r="D10" s="663"/>
      <c r="E10" s="655"/>
    </row>
    <row r="11" spans="1:19" ht="14.65" customHeight="1" x14ac:dyDescent="0.25">
      <c r="B11" s="128">
        <f>ÜLDANDMED!C10</f>
        <v>2022</v>
      </c>
      <c r="C11" s="76" t="s">
        <v>126</v>
      </c>
      <c r="D11" s="270"/>
      <c r="E11" s="228"/>
    </row>
    <row r="12" spans="1:19" ht="14.65" customHeight="1" x14ac:dyDescent="0.25">
      <c r="B12" s="82"/>
      <c r="C12" s="81" t="s">
        <v>107</v>
      </c>
      <c r="D12" s="424"/>
      <c r="E12" s="414">
        <f>D12*sõiduauto_bensiin_2022/1000</f>
        <v>0</v>
      </c>
    </row>
    <row r="13" spans="1:19" ht="14.65" customHeight="1" x14ac:dyDescent="0.25">
      <c r="B13" s="82"/>
      <c r="C13" s="81" t="s">
        <v>108</v>
      </c>
      <c r="D13" s="424"/>
      <c r="E13" s="414">
        <f>D13*sõiduauto_diisel_2022/1000</f>
        <v>0</v>
      </c>
    </row>
    <row r="14" spans="1:19" ht="14.65" customHeight="1" x14ac:dyDescent="0.25">
      <c r="B14" s="82"/>
      <c r="C14" s="214" t="s">
        <v>341</v>
      </c>
      <c r="D14" s="424"/>
      <c r="E14" s="414">
        <f>D14*sõiduauto_bioCNG_2022/1000</f>
        <v>0</v>
      </c>
    </row>
    <row r="15" spans="1:19" ht="14.65" customHeight="1" x14ac:dyDescent="0.25">
      <c r="B15" s="82"/>
      <c r="C15" s="214" t="s">
        <v>342</v>
      </c>
      <c r="D15" s="424"/>
      <c r="E15" s="414">
        <f>D15*sõiduauto_CNG_2022/1000</f>
        <v>0</v>
      </c>
    </row>
    <row r="16" spans="1:19" ht="14.65" customHeight="1" x14ac:dyDescent="0.25">
      <c r="B16" s="82"/>
      <c r="C16" s="81" t="s">
        <v>339</v>
      </c>
      <c r="D16" s="424"/>
      <c r="E16" s="414">
        <f>D16*sõiduauto_hübriid_2022/1000</f>
        <v>0</v>
      </c>
    </row>
    <row r="17" spans="2:6" ht="14.65" customHeight="1" x14ac:dyDescent="0.25">
      <c r="B17" s="82"/>
      <c r="C17" s="81" t="s">
        <v>127</v>
      </c>
      <c r="D17" s="424"/>
      <c r="E17" s="414">
        <f>D17*sõiduauto_taastuvelekter/1000</f>
        <v>0</v>
      </c>
    </row>
    <row r="18" spans="2:6" ht="14.65" customHeight="1" x14ac:dyDescent="0.25">
      <c r="B18" s="82"/>
      <c r="C18" s="81" t="s">
        <v>128</v>
      </c>
      <c r="D18" s="424"/>
      <c r="E18" s="414">
        <f>D18*sõiduauto_tavaelekter_2022/1000</f>
        <v>0</v>
      </c>
    </row>
    <row r="19" spans="2:6" ht="14.65" customHeight="1" x14ac:dyDescent="0.25">
      <c r="B19" s="77"/>
      <c r="C19" s="71" t="s">
        <v>111</v>
      </c>
      <c r="D19" s="424"/>
      <c r="E19" s="414">
        <f>D19*sõiduk_takso_2022/1000</f>
        <v>0</v>
      </c>
    </row>
    <row r="20" spans="2:6" s="152" customFormat="1" ht="14.65" customHeight="1" x14ac:dyDescent="0.25">
      <c r="B20" s="77"/>
      <c r="C20" s="180" t="s">
        <v>129</v>
      </c>
      <c r="D20" s="271"/>
      <c r="E20" s="240"/>
    </row>
    <row r="21" spans="2:6" ht="14.65" customHeight="1" x14ac:dyDescent="0.25">
      <c r="B21" s="77"/>
      <c r="C21" s="71" t="s">
        <v>115</v>
      </c>
      <c r="D21" s="424"/>
      <c r="E21" s="414">
        <f>D21*sõiduk_buss_linnaliin_Tallinn_2022/1000</f>
        <v>0</v>
      </c>
      <c r="F21" s="49"/>
    </row>
    <row r="22" spans="2:6" ht="14.65" customHeight="1" x14ac:dyDescent="0.25">
      <c r="B22" s="77"/>
      <c r="C22" s="71" t="s">
        <v>116</v>
      </c>
      <c r="D22" s="424"/>
      <c r="E22" s="414">
        <f>D22*sõiduk_buss_linnaliin_Eesti_2022/1000</f>
        <v>0</v>
      </c>
      <c r="F22" s="49"/>
    </row>
    <row r="23" spans="2:6" ht="14.65" customHeight="1" x14ac:dyDescent="0.25">
      <c r="B23" s="77"/>
      <c r="C23" s="71" t="s">
        <v>130</v>
      </c>
      <c r="D23" s="424"/>
      <c r="E23" s="414">
        <f>D23*sõiduk_buss_maakondlik_2022/1000</f>
        <v>0</v>
      </c>
    </row>
    <row r="24" spans="2:6" ht="14.65" customHeight="1" x14ac:dyDescent="0.25">
      <c r="B24" s="77"/>
      <c r="C24" s="71" t="s">
        <v>131</v>
      </c>
      <c r="D24" s="424"/>
      <c r="E24" s="414">
        <f>D24*sõiduk_tramm/1000</f>
        <v>0</v>
      </c>
    </row>
    <row r="25" spans="2:6" ht="14.65" customHeight="1" x14ac:dyDescent="0.25">
      <c r="B25" s="77"/>
      <c r="C25" s="71" t="s">
        <v>117</v>
      </c>
      <c r="D25" s="424"/>
      <c r="E25" s="414">
        <f>D25*sõiduk_diiselrong_2022/1000</f>
        <v>0</v>
      </c>
    </row>
    <row r="26" spans="2:6" ht="14.65" customHeight="1" x14ac:dyDescent="0.25">
      <c r="B26" s="77"/>
      <c r="C26" s="71" t="s">
        <v>118</v>
      </c>
      <c r="D26" s="424"/>
      <c r="E26" s="414">
        <f>D26*sõiduk_elektrirong/1000</f>
        <v>0</v>
      </c>
    </row>
    <row r="27" spans="2:6" ht="14.65" customHeight="1" x14ac:dyDescent="0.25">
      <c r="B27" s="77"/>
      <c r="C27" s="92" t="s">
        <v>132</v>
      </c>
      <c r="D27" s="271"/>
      <c r="E27" s="240"/>
    </row>
    <row r="28" spans="2:6" ht="14.65" customHeight="1" x14ac:dyDescent="0.25">
      <c r="B28" s="77"/>
      <c r="C28" s="207" t="s">
        <v>133</v>
      </c>
      <c r="D28" s="424"/>
      <c r="E28" s="414">
        <f>D28*sõiduk_tavajalgratas/1000</f>
        <v>0</v>
      </c>
    </row>
    <row r="29" spans="2:6" ht="14.65" customHeight="1" x14ac:dyDescent="0.25">
      <c r="B29" s="77"/>
      <c r="C29" s="207" t="s">
        <v>134</v>
      </c>
      <c r="D29" s="424"/>
      <c r="E29" s="414">
        <f>D29*sõiduk_taastuvelektriratas/1000</f>
        <v>0</v>
      </c>
    </row>
    <row r="30" spans="2:6" ht="14.65" customHeight="1" x14ac:dyDescent="0.25">
      <c r="B30" s="77"/>
      <c r="C30" s="81" t="s">
        <v>135</v>
      </c>
      <c r="D30" s="424"/>
      <c r="E30" s="414">
        <f>D30*sõiduk_tavaelektriratas_2022/1000</f>
        <v>0</v>
      </c>
    </row>
    <row r="31" spans="2:6" ht="14.65" customHeight="1" thickBot="1" x14ac:dyDescent="0.3">
      <c r="B31" s="85"/>
      <c r="C31" s="318" t="s">
        <v>136</v>
      </c>
      <c r="D31" s="425"/>
      <c r="E31" s="426">
        <f>D31*tööle_koju_jalgsi/1000</f>
        <v>0</v>
      </c>
    </row>
    <row r="32" spans="2:6" ht="14.65" customHeight="1" thickBot="1" x14ac:dyDescent="0.3">
      <c r="B32" s="130"/>
      <c r="C32" s="222" t="s">
        <v>137</v>
      </c>
      <c r="D32" s="272"/>
      <c r="E32" s="427">
        <f>SUM(E12:E31)</f>
        <v>0</v>
      </c>
    </row>
    <row r="33" spans="2:6" ht="14.65" customHeight="1" x14ac:dyDescent="0.25">
      <c r="B33" s="208"/>
      <c r="C33" s="220"/>
      <c r="D33" s="93"/>
      <c r="E33"/>
    </row>
    <row r="34" spans="2:6" ht="14.65" customHeight="1" thickBot="1" x14ac:dyDescent="0.3">
      <c r="B34" s="208"/>
      <c r="C34" s="220"/>
      <c r="D34" s="93"/>
      <c r="E34"/>
    </row>
    <row r="35" spans="2:6" ht="14.65" customHeight="1" x14ac:dyDescent="0.25">
      <c r="B35" s="603" t="s">
        <v>9</v>
      </c>
      <c r="C35" s="603" t="s">
        <v>10</v>
      </c>
      <c r="D35" s="662" t="s">
        <v>124</v>
      </c>
      <c r="E35" s="653" t="s">
        <v>125</v>
      </c>
    </row>
    <row r="36" spans="2:6" ht="25.5" customHeight="1" thickBot="1" x14ac:dyDescent="0.3">
      <c r="B36" s="605"/>
      <c r="C36" s="605"/>
      <c r="D36" s="663"/>
      <c r="E36" s="655"/>
    </row>
    <row r="37" spans="2:6" ht="14.65" customHeight="1" x14ac:dyDescent="0.25">
      <c r="B37" s="128">
        <f>ÜLDANDMED!D10</f>
        <v>2023</v>
      </c>
      <c r="C37" s="76" t="s">
        <v>126</v>
      </c>
      <c r="D37" s="270"/>
      <c r="E37" s="228"/>
    </row>
    <row r="38" spans="2:6" ht="14.65" customHeight="1" x14ac:dyDescent="0.25">
      <c r="B38" s="82"/>
      <c r="C38" s="81" t="s">
        <v>107</v>
      </c>
      <c r="D38" s="424"/>
      <c r="E38" s="414">
        <f>D38*sõiduauto_bensiin_2023/1000</f>
        <v>0</v>
      </c>
    </row>
    <row r="39" spans="2:6" ht="14.65" customHeight="1" x14ac:dyDescent="0.25">
      <c r="B39" s="82"/>
      <c r="C39" s="81" t="s">
        <v>108</v>
      </c>
      <c r="D39" s="424"/>
      <c r="E39" s="414">
        <f>D39*sõiduauto_diisel_2023/1000</f>
        <v>0</v>
      </c>
    </row>
    <row r="40" spans="2:6" ht="14.65" customHeight="1" x14ac:dyDescent="0.25">
      <c r="B40" s="82"/>
      <c r="C40" s="214" t="s">
        <v>341</v>
      </c>
      <c r="D40" s="424"/>
      <c r="E40" s="414">
        <f>D40*sõiduauto_bioCNG_2023/1000</f>
        <v>0</v>
      </c>
    </row>
    <row r="41" spans="2:6" ht="14.65" customHeight="1" x14ac:dyDescent="0.25">
      <c r="B41" s="82"/>
      <c r="C41" s="214" t="s">
        <v>342</v>
      </c>
      <c r="D41" s="424"/>
      <c r="E41" s="414">
        <f>D41*sõiduauto_CNG_2023/1000</f>
        <v>0</v>
      </c>
    </row>
    <row r="42" spans="2:6" ht="14.65" customHeight="1" x14ac:dyDescent="0.25">
      <c r="B42" s="82"/>
      <c r="C42" s="81" t="s">
        <v>339</v>
      </c>
      <c r="D42" s="424"/>
      <c r="E42" s="414">
        <f>D42*sõiduauto_hübriid_2023/1000</f>
        <v>0</v>
      </c>
    </row>
    <row r="43" spans="2:6" ht="14.65" customHeight="1" x14ac:dyDescent="0.25">
      <c r="B43" s="82"/>
      <c r="C43" s="81" t="s">
        <v>127</v>
      </c>
      <c r="D43" s="424"/>
      <c r="E43" s="414">
        <f>D43*sõiduauto_taastuvelekter/1000</f>
        <v>0</v>
      </c>
    </row>
    <row r="44" spans="2:6" ht="14.65" customHeight="1" x14ac:dyDescent="0.25">
      <c r="B44" s="82"/>
      <c r="C44" s="81" t="s">
        <v>128</v>
      </c>
      <c r="D44" s="424"/>
      <c r="E44" s="414">
        <f>D44*sõiduauto_tavaelekter_2023/1000</f>
        <v>0</v>
      </c>
    </row>
    <row r="45" spans="2:6" ht="14.65" customHeight="1" x14ac:dyDescent="0.25">
      <c r="B45" s="77"/>
      <c r="C45" s="71" t="s">
        <v>111</v>
      </c>
      <c r="D45" s="424"/>
      <c r="E45" s="414">
        <f>D45*sõiduk_takso_2023/1000</f>
        <v>0</v>
      </c>
    </row>
    <row r="46" spans="2:6" s="152" customFormat="1" ht="14.65" customHeight="1" x14ac:dyDescent="0.25">
      <c r="B46" s="77"/>
      <c r="C46" s="180" t="s">
        <v>129</v>
      </c>
      <c r="D46" s="271"/>
      <c r="E46" s="240"/>
    </row>
    <row r="47" spans="2:6" ht="14.65" customHeight="1" x14ac:dyDescent="0.25">
      <c r="B47" s="77"/>
      <c r="C47" s="71" t="s">
        <v>115</v>
      </c>
      <c r="D47" s="424"/>
      <c r="E47" s="414">
        <f>D47*sõiduk_buss_linnaliin_Tallinn_2023/1000</f>
        <v>0</v>
      </c>
    </row>
    <row r="48" spans="2:6" ht="14.65" customHeight="1" x14ac:dyDescent="0.25">
      <c r="B48" s="77"/>
      <c r="C48" s="71" t="s">
        <v>116</v>
      </c>
      <c r="D48" s="424"/>
      <c r="E48" s="414">
        <f>D48*sõiduk_buss_linnaliin_Eesti_2023/1000</f>
        <v>0</v>
      </c>
      <c r="F48" s="49"/>
    </row>
    <row r="49" spans="2:5" ht="14.65" customHeight="1" x14ac:dyDescent="0.25">
      <c r="B49" s="77"/>
      <c r="C49" s="71" t="s">
        <v>130</v>
      </c>
      <c r="D49" s="424"/>
      <c r="E49" s="414">
        <f>D49*sõiduk_buss_maakondlik_2023/1000</f>
        <v>0</v>
      </c>
    </row>
    <row r="50" spans="2:5" ht="14.65" customHeight="1" x14ac:dyDescent="0.25">
      <c r="B50" s="77"/>
      <c r="C50" s="71" t="s">
        <v>131</v>
      </c>
      <c r="D50" s="424"/>
      <c r="E50" s="414">
        <f>D50*sõiduk_tramm/1000</f>
        <v>0</v>
      </c>
    </row>
    <row r="51" spans="2:5" ht="14.65" customHeight="1" x14ac:dyDescent="0.25">
      <c r="B51" s="77"/>
      <c r="C51" s="71" t="s">
        <v>117</v>
      </c>
      <c r="D51" s="424"/>
      <c r="E51" s="414">
        <f>D51*sõiduk_diiselrong_2023/1000</f>
        <v>0</v>
      </c>
    </row>
    <row r="52" spans="2:5" ht="14.65" customHeight="1" x14ac:dyDescent="0.25">
      <c r="B52" s="77"/>
      <c r="C52" s="71" t="s">
        <v>118</v>
      </c>
      <c r="D52" s="424"/>
      <c r="E52" s="414">
        <f>D52*sõiduk_elektrirong/1000</f>
        <v>0</v>
      </c>
    </row>
    <row r="53" spans="2:5" ht="14.65" customHeight="1" x14ac:dyDescent="0.25">
      <c r="B53" s="77"/>
      <c r="C53" s="92" t="s">
        <v>132</v>
      </c>
      <c r="D53" s="271"/>
      <c r="E53" s="240"/>
    </row>
    <row r="54" spans="2:5" ht="14.65" customHeight="1" x14ac:dyDescent="0.25">
      <c r="B54" s="77"/>
      <c r="C54" s="207" t="s">
        <v>133</v>
      </c>
      <c r="D54" s="424"/>
      <c r="E54" s="414">
        <f>D54*sõiduk_tavajalgratas/1000</f>
        <v>0</v>
      </c>
    </row>
    <row r="55" spans="2:5" ht="14.65" customHeight="1" x14ac:dyDescent="0.25">
      <c r="B55" s="77"/>
      <c r="C55" s="207" t="s">
        <v>134</v>
      </c>
      <c r="D55" s="424"/>
      <c r="E55" s="414">
        <f>D55*sõiduk_taastuvelektriratas/1000</f>
        <v>0</v>
      </c>
    </row>
    <row r="56" spans="2:5" ht="14.65" customHeight="1" x14ac:dyDescent="0.25">
      <c r="B56" s="77"/>
      <c r="C56" s="81" t="s">
        <v>135</v>
      </c>
      <c r="D56" s="424"/>
      <c r="E56" s="414">
        <f>D56*sõiduk_tavaelektriratas_2023/1000</f>
        <v>0</v>
      </c>
    </row>
    <row r="57" spans="2:5" ht="14.65" customHeight="1" thickBot="1" x14ac:dyDescent="0.3">
      <c r="B57" s="85"/>
      <c r="C57" s="318" t="s">
        <v>136</v>
      </c>
      <c r="D57" s="425"/>
      <c r="E57" s="426">
        <f>D57*tööle_koju_jalgsi/1000</f>
        <v>0</v>
      </c>
    </row>
    <row r="58" spans="2:5" ht="14.65" customHeight="1" thickBot="1" x14ac:dyDescent="0.3">
      <c r="B58" s="130"/>
      <c r="C58" s="222" t="s">
        <v>137</v>
      </c>
      <c r="D58" s="272"/>
      <c r="E58" s="427">
        <f>SUM(E38:E57)</f>
        <v>0</v>
      </c>
    </row>
    <row r="59" spans="2:5" ht="14.65" customHeight="1" x14ac:dyDescent="0.25">
      <c r="B59" s="208"/>
      <c r="C59" s="220"/>
      <c r="D59" s="93"/>
      <c r="E59"/>
    </row>
    <row r="60" spans="2:5" ht="14.65" customHeight="1" thickBot="1" x14ac:dyDescent="0.3">
      <c r="B60" s="208"/>
      <c r="C60" s="220"/>
      <c r="D60" s="93"/>
      <c r="E60"/>
    </row>
    <row r="61" spans="2:5" ht="14.65" customHeight="1" x14ac:dyDescent="0.25">
      <c r="B61" s="603" t="s">
        <v>9</v>
      </c>
      <c r="C61" s="603" t="s">
        <v>10</v>
      </c>
      <c r="D61" s="662" t="s">
        <v>124</v>
      </c>
      <c r="E61" s="653" t="s">
        <v>125</v>
      </c>
    </row>
    <row r="62" spans="2:5" ht="27" customHeight="1" thickBot="1" x14ac:dyDescent="0.3">
      <c r="B62" s="605"/>
      <c r="C62" s="605"/>
      <c r="D62" s="663"/>
      <c r="E62" s="655"/>
    </row>
    <row r="63" spans="2:5" ht="14.65" customHeight="1" x14ac:dyDescent="0.25">
      <c r="B63" s="128">
        <f>ÜLDANDMED!E10</f>
        <v>2024</v>
      </c>
      <c r="C63" s="76" t="s">
        <v>126</v>
      </c>
      <c r="D63" s="270"/>
      <c r="E63" s="228"/>
    </row>
    <row r="64" spans="2:5" ht="14.65" customHeight="1" x14ac:dyDescent="0.25">
      <c r="B64" s="82"/>
      <c r="C64" s="81" t="s">
        <v>107</v>
      </c>
      <c r="D64" s="424"/>
      <c r="E64" s="414">
        <f>D64*sõiduauto_bensiin_2024/1000</f>
        <v>0</v>
      </c>
    </row>
    <row r="65" spans="2:6" ht="14.65" customHeight="1" x14ac:dyDescent="0.25">
      <c r="B65" s="82"/>
      <c r="C65" s="81" t="s">
        <v>108</v>
      </c>
      <c r="D65" s="424"/>
      <c r="E65" s="414">
        <f>D65*sõiduauto_diisel_2024/1000</f>
        <v>0</v>
      </c>
    </row>
    <row r="66" spans="2:6" ht="14.65" customHeight="1" x14ac:dyDescent="0.25">
      <c r="B66" s="82"/>
      <c r="C66" s="214" t="s">
        <v>341</v>
      </c>
      <c r="D66" s="424"/>
      <c r="E66" s="414">
        <f>D66*sõiduauto_bioCNG_2024/1000</f>
        <v>0</v>
      </c>
    </row>
    <row r="67" spans="2:6" ht="14.65" customHeight="1" x14ac:dyDescent="0.25">
      <c r="B67" s="82"/>
      <c r="C67" s="214" t="s">
        <v>342</v>
      </c>
      <c r="D67" s="424"/>
      <c r="E67" s="414">
        <f>D67*sõiduauto_CNG_2024/1000</f>
        <v>0</v>
      </c>
    </row>
    <row r="68" spans="2:6" ht="14.65" customHeight="1" x14ac:dyDescent="0.25">
      <c r="B68" s="82"/>
      <c r="C68" s="81" t="s">
        <v>339</v>
      </c>
      <c r="D68" s="424"/>
      <c r="E68" s="414">
        <f>D68*sõiduauto_hübriid_2024/1000</f>
        <v>0</v>
      </c>
    </row>
    <row r="69" spans="2:6" ht="14.65" customHeight="1" x14ac:dyDescent="0.25">
      <c r="B69" s="82"/>
      <c r="C69" s="81" t="s">
        <v>127</v>
      </c>
      <c r="D69" s="424"/>
      <c r="E69" s="414">
        <f>D69*sõiduauto_taastuvelekter/1000</f>
        <v>0</v>
      </c>
    </row>
    <row r="70" spans="2:6" ht="14.65" customHeight="1" x14ac:dyDescent="0.25">
      <c r="B70" s="82"/>
      <c r="C70" s="81" t="s">
        <v>128</v>
      </c>
      <c r="D70" s="424"/>
      <c r="E70" s="414">
        <f>D70*sõiduauto_tavaelekter_2024/1000</f>
        <v>0</v>
      </c>
    </row>
    <row r="71" spans="2:6" ht="14.65" customHeight="1" x14ac:dyDescent="0.25">
      <c r="B71" s="77"/>
      <c r="C71" s="71" t="s">
        <v>111</v>
      </c>
      <c r="D71" s="424"/>
      <c r="E71" s="414">
        <f>D71*sõiduk_takso_2024/1000</f>
        <v>0</v>
      </c>
    </row>
    <row r="72" spans="2:6" s="152" customFormat="1" ht="14.65" customHeight="1" x14ac:dyDescent="0.25">
      <c r="B72" s="77"/>
      <c r="C72" s="180" t="s">
        <v>129</v>
      </c>
      <c r="D72" s="271"/>
      <c r="E72" s="240"/>
    </row>
    <row r="73" spans="2:6" ht="14.65" customHeight="1" x14ac:dyDescent="0.25">
      <c r="B73" s="77"/>
      <c r="C73" s="71" t="s">
        <v>115</v>
      </c>
      <c r="D73" s="424"/>
      <c r="E73" s="414">
        <f>D73*sõiduk_buss_linnaliin_Tallinn_2024/1000</f>
        <v>0</v>
      </c>
    </row>
    <row r="74" spans="2:6" ht="14.65" customHeight="1" x14ac:dyDescent="0.25">
      <c r="B74" s="77"/>
      <c r="C74" s="71" t="s">
        <v>116</v>
      </c>
      <c r="D74" s="424"/>
      <c r="E74" s="414">
        <f>D74*sõiduk_buss_linnaliin_Eesti_2024/1000</f>
        <v>0</v>
      </c>
      <c r="F74" s="49"/>
    </row>
    <row r="75" spans="2:6" ht="14.65" customHeight="1" x14ac:dyDescent="0.25">
      <c r="B75" s="77"/>
      <c r="C75" s="71" t="s">
        <v>130</v>
      </c>
      <c r="D75" s="424"/>
      <c r="E75" s="414">
        <f>D75*sõiduk_buss_maakondlik_2024/1000</f>
        <v>0</v>
      </c>
    </row>
    <row r="76" spans="2:6" ht="14.65" customHeight="1" x14ac:dyDescent="0.25">
      <c r="B76" s="77"/>
      <c r="C76" s="71" t="s">
        <v>131</v>
      </c>
      <c r="D76" s="424"/>
      <c r="E76" s="414">
        <f>D76*sõiduk_tramm/1000</f>
        <v>0</v>
      </c>
    </row>
    <row r="77" spans="2:6" ht="14.65" customHeight="1" x14ac:dyDescent="0.25">
      <c r="B77" s="77"/>
      <c r="C77" s="71" t="s">
        <v>117</v>
      </c>
      <c r="D77" s="424"/>
      <c r="E77" s="414">
        <f>D77*sõiduk_diiselrong_2024/1000</f>
        <v>0</v>
      </c>
    </row>
    <row r="78" spans="2:6" ht="14.65" customHeight="1" x14ac:dyDescent="0.25">
      <c r="B78" s="77"/>
      <c r="C78" s="71" t="s">
        <v>118</v>
      </c>
      <c r="D78" s="424"/>
      <c r="E78" s="414">
        <f>D78*sõiduk_elektrirong/1000</f>
        <v>0</v>
      </c>
    </row>
    <row r="79" spans="2:6" ht="14.65" customHeight="1" x14ac:dyDescent="0.25">
      <c r="B79" s="77"/>
      <c r="C79" s="92" t="s">
        <v>132</v>
      </c>
      <c r="D79" s="271"/>
      <c r="E79" s="240"/>
    </row>
    <row r="80" spans="2:6" ht="14.65" customHeight="1" x14ac:dyDescent="0.25">
      <c r="B80" s="77"/>
      <c r="C80" s="207" t="s">
        <v>133</v>
      </c>
      <c r="D80" s="424"/>
      <c r="E80" s="414">
        <f>D80*sõiduk_tavajalgratas/1000</f>
        <v>0</v>
      </c>
    </row>
    <row r="81" spans="2:5" ht="14.65" customHeight="1" x14ac:dyDescent="0.25">
      <c r="B81" s="77"/>
      <c r="C81" s="207" t="s">
        <v>134</v>
      </c>
      <c r="D81" s="424"/>
      <c r="E81" s="414">
        <f>D81*sõiduk_taastuvelektriratas/1000</f>
        <v>0</v>
      </c>
    </row>
    <row r="82" spans="2:5" ht="14.65" customHeight="1" x14ac:dyDescent="0.25">
      <c r="B82" s="77"/>
      <c r="C82" s="81" t="s">
        <v>135</v>
      </c>
      <c r="D82" s="424"/>
      <c r="E82" s="414">
        <f>D82*sõiduk_tavaelektriratas_2024/1000</f>
        <v>0</v>
      </c>
    </row>
    <row r="83" spans="2:5" ht="14.65" customHeight="1" thickBot="1" x14ac:dyDescent="0.3">
      <c r="B83" s="85"/>
      <c r="C83" s="318" t="s">
        <v>136</v>
      </c>
      <c r="D83" s="425"/>
      <c r="E83" s="426">
        <f>D83*tööle_koju_jalgsi/1000</f>
        <v>0</v>
      </c>
    </row>
    <row r="84" spans="2:5" ht="14.65" customHeight="1" thickBot="1" x14ac:dyDescent="0.3">
      <c r="B84" s="130"/>
      <c r="C84" s="222" t="s">
        <v>137</v>
      </c>
      <c r="D84" s="272"/>
      <c r="E84" s="427">
        <f>SUM(E64:E83)</f>
        <v>0</v>
      </c>
    </row>
    <row r="85" spans="2:5" ht="14.65" customHeight="1" x14ac:dyDescent="0.25">
      <c r="B85" s="208"/>
      <c r="C85" s="220"/>
      <c r="D85" s="93"/>
      <c r="E85"/>
    </row>
    <row r="86" spans="2:5" ht="14.65" customHeight="1" thickBot="1" x14ac:dyDescent="0.3">
      <c r="C86"/>
      <c r="D86" s="93"/>
    </row>
    <row r="87" spans="2:5" ht="14.65" customHeight="1" x14ac:dyDescent="0.25">
      <c r="B87" s="603" t="s">
        <v>9</v>
      </c>
      <c r="C87" s="603" t="s">
        <v>10</v>
      </c>
      <c r="D87" s="662" t="s">
        <v>124</v>
      </c>
      <c r="E87" s="653" t="s">
        <v>125</v>
      </c>
    </row>
    <row r="88" spans="2:5" ht="27.6" customHeight="1" thickBot="1" x14ac:dyDescent="0.3">
      <c r="B88" s="605"/>
      <c r="C88" s="605"/>
      <c r="D88" s="663"/>
      <c r="E88" s="655"/>
    </row>
    <row r="89" spans="2:5" ht="14.65" customHeight="1" x14ac:dyDescent="0.25">
      <c r="B89" s="128">
        <f>ÜLDANDMED!F10</f>
        <v>2025</v>
      </c>
      <c r="C89" s="76" t="s">
        <v>126</v>
      </c>
      <c r="D89" s="270"/>
      <c r="E89" s="228"/>
    </row>
    <row r="90" spans="2:5" ht="14.65" customHeight="1" x14ac:dyDescent="0.25">
      <c r="B90" s="82"/>
      <c r="C90" s="81" t="s">
        <v>107</v>
      </c>
      <c r="D90" s="424"/>
      <c r="E90" s="414">
        <f>D90*sõiduauto_bensiin_2025/1000</f>
        <v>0</v>
      </c>
    </row>
    <row r="91" spans="2:5" ht="14.65" customHeight="1" x14ac:dyDescent="0.25">
      <c r="B91" s="82"/>
      <c r="C91" s="81" t="s">
        <v>108</v>
      </c>
      <c r="D91" s="424"/>
      <c r="E91" s="414">
        <f>D91*sõiduauto_diisel_2025/1000</f>
        <v>0</v>
      </c>
    </row>
    <row r="92" spans="2:5" ht="14.65" customHeight="1" x14ac:dyDescent="0.25">
      <c r="B92" s="82"/>
      <c r="C92" s="214" t="s">
        <v>341</v>
      </c>
      <c r="D92" s="424"/>
      <c r="E92" s="414">
        <f>D92*sõiduauto_bioCNG_2025/1000</f>
        <v>0</v>
      </c>
    </row>
    <row r="93" spans="2:5" ht="14.65" customHeight="1" x14ac:dyDescent="0.25">
      <c r="B93" s="82"/>
      <c r="C93" s="214" t="s">
        <v>342</v>
      </c>
      <c r="D93" s="424"/>
      <c r="E93" s="414">
        <f>D93*sõiduauto_CNG_2025/1000</f>
        <v>0</v>
      </c>
    </row>
    <row r="94" spans="2:5" ht="14.65" customHeight="1" x14ac:dyDescent="0.25">
      <c r="B94" s="82"/>
      <c r="C94" s="81" t="s">
        <v>339</v>
      </c>
      <c r="D94" s="424"/>
      <c r="E94" s="414">
        <f>D94*sõiduauto_hübriid_2025/1000</f>
        <v>0</v>
      </c>
    </row>
    <row r="95" spans="2:5" ht="14.65" customHeight="1" x14ac:dyDescent="0.25">
      <c r="B95" s="82"/>
      <c r="C95" s="81" t="s">
        <v>127</v>
      </c>
      <c r="D95" s="424"/>
      <c r="E95" s="414">
        <f>D95*sõiduauto_taastuvelekter/1000</f>
        <v>0</v>
      </c>
    </row>
    <row r="96" spans="2:5" ht="14.65" customHeight="1" x14ac:dyDescent="0.25">
      <c r="B96" s="82"/>
      <c r="C96" s="81" t="s">
        <v>128</v>
      </c>
      <c r="D96" s="424"/>
      <c r="E96" s="414">
        <f>D96*sõiduauto_tavaelekter_2025/1000</f>
        <v>0</v>
      </c>
    </row>
    <row r="97" spans="2:6" ht="14.65" customHeight="1" x14ac:dyDescent="0.25">
      <c r="B97" s="77"/>
      <c r="C97" s="71" t="s">
        <v>111</v>
      </c>
      <c r="D97" s="424"/>
      <c r="E97" s="414">
        <f>D97*sõiduk_takso_2025/1000</f>
        <v>0</v>
      </c>
    </row>
    <row r="98" spans="2:6" s="152" customFormat="1" ht="14.65" customHeight="1" x14ac:dyDescent="0.25">
      <c r="B98" s="77"/>
      <c r="C98" s="180" t="s">
        <v>129</v>
      </c>
      <c r="D98" s="271"/>
      <c r="E98" s="240"/>
    </row>
    <row r="99" spans="2:6" ht="14.65" customHeight="1" x14ac:dyDescent="0.25">
      <c r="B99" s="77"/>
      <c r="C99" s="71" t="s">
        <v>115</v>
      </c>
      <c r="D99" s="424"/>
      <c r="E99" s="414">
        <f>D99*sõiduk_buss_linnaliin_Tallinn_2025/1000</f>
        <v>0</v>
      </c>
    </row>
    <row r="100" spans="2:6" ht="14.65" customHeight="1" x14ac:dyDescent="0.25">
      <c r="B100" s="77"/>
      <c r="C100" s="71" t="s">
        <v>116</v>
      </c>
      <c r="D100" s="424"/>
      <c r="E100" s="414">
        <f>D100*sõiduk_buss_linnaliin_Eesti_2025/1000</f>
        <v>0</v>
      </c>
      <c r="F100" s="49"/>
    </row>
    <row r="101" spans="2:6" ht="14.65" customHeight="1" x14ac:dyDescent="0.25">
      <c r="B101" s="77"/>
      <c r="C101" s="71" t="s">
        <v>130</v>
      </c>
      <c r="D101" s="424"/>
      <c r="E101" s="414">
        <f>D101*sõiduk_buss_maakondlik_2025/1000</f>
        <v>0</v>
      </c>
    </row>
    <row r="102" spans="2:6" ht="14.65" customHeight="1" x14ac:dyDescent="0.25">
      <c r="B102" s="77"/>
      <c r="C102" s="71" t="s">
        <v>131</v>
      </c>
      <c r="D102" s="424"/>
      <c r="E102" s="414">
        <f>D102*sõiduk_tramm/1000</f>
        <v>0</v>
      </c>
    </row>
    <row r="103" spans="2:6" ht="14.65" customHeight="1" x14ac:dyDescent="0.25">
      <c r="B103" s="77"/>
      <c r="C103" s="71" t="s">
        <v>117</v>
      </c>
      <c r="D103" s="424"/>
      <c r="E103" s="414">
        <f>D103*sõiduk_diiselrong_2025/1000</f>
        <v>0</v>
      </c>
    </row>
    <row r="104" spans="2:6" ht="14.65" customHeight="1" x14ac:dyDescent="0.25">
      <c r="B104" s="77"/>
      <c r="C104" s="71" t="s">
        <v>118</v>
      </c>
      <c r="D104" s="424"/>
      <c r="E104" s="414">
        <f>D104*sõiduk_elektrirong/1000</f>
        <v>0</v>
      </c>
    </row>
    <row r="105" spans="2:6" ht="14.65" customHeight="1" x14ac:dyDescent="0.25">
      <c r="B105" s="77"/>
      <c r="C105" s="92" t="s">
        <v>132</v>
      </c>
      <c r="D105" s="271"/>
      <c r="E105" s="240"/>
    </row>
    <row r="106" spans="2:6" ht="14.65" customHeight="1" x14ac:dyDescent="0.25">
      <c r="B106" s="77"/>
      <c r="C106" s="207" t="s">
        <v>133</v>
      </c>
      <c r="D106" s="424"/>
      <c r="E106" s="414">
        <f>D106*sõiduk_tavajalgratas/1000</f>
        <v>0</v>
      </c>
    </row>
    <row r="107" spans="2:6" ht="14.65" customHeight="1" x14ac:dyDescent="0.25">
      <c r="B107" s="77"/>
      <c r="C107" s="207" t="s">
        <v>134</v>
      </c>
      <c r="D107" s="424"/>
      <c r="E107" s="414">
        <f>D107*sõiduk_taastuvelektriratas/1000</f>
        <v>0</v>
      </c>
    </row>
    <row r="108" spans="2:6" ht="14.65" customHeight="1" x14ac:dyDescent="0.25">
      <c r="B108" s="77"/>
      <c r="C108" s="81" t="s">
        <v>135</v>
      </c>
      <c r="D108" s="424"/>
      <c r="E108" s="414">
        <f>D108*sõiduk_tavaelektriratas_2025/1000</f>
        <v>0</v>
      </c>
    </row>
    <row r="109" spans="2:6" ht="14.65" customHeight="1" thickBot="1" x14ac:dyDescent="0.3">
      <c r="B109" s="85"/>
      <c r="C109" s="318" t="s">
        <v>136</v>
      </c>
      <c r="D109" s="425"/>
      <c r="E109" s="426">
        <f>D109*tööle_koju_jalgsi/1000</f>
        <v>0</v>
      </c>
    </row>
    <row r="110" spans="2:6" ht="14.65" customHeight="1" thickBot="1" x14ac:dyDescent="0.3">
      <c r="B110" s="130"/>
      <c r="C110" s="222" t="s">
        <v>137</v>
      </c>
      <c r="D110" s="272"/>
      <c r="E110" s="427">
        <f>SUM(E90:E109)</f>
        <v>0</v>
      </c>
    </row>
    <row r="111" spans="2:6" ht="14.65" customHeight="1" x14ac:dyDescent="0.25">
      <c r="B111" s="208"/>
      <c r="C111" s="220"/>
      <c r="D111" s="93"/>
      <c r="E111"/>
    </row>
    <row r="112" spans="2:6" ht="14.65" customHeight="1" thickBot="1" x14ac:dyDescent="0.3">
      <c r="B112" s="208"/>
      <c r="C112" s="220"/>
      <c r="D112" s="93"/>
      <c r="E112"/>
    </row>
    <row r="113" spans="2:6" ht="14.65" customHeight="1" x14ac:dyDescent="0.25">
      <c r="B113" s="603" t="s">
        <v>9</v>
      </c>
      <c r="C113" s="603" t="s">
        <v>10</v>
      </c>
      <c r="D113" s="662" t="s">
        <v>124</v>
      </c>
      <c r="E113" s="653" t="s">
        <v>125</v>
      </c>
    </row>
    <row r="114" spans="2:6" ht="24.6" customHeight="1" thickBot="1" x14ac:dyDescent="0.3">
      <c r="B114" s="605"/>
      <c r="C114" s="605"/>
      <c r="D114" s="663"/>
      <c r="E114" s="655"/>
    </row>
    <row r="115" spans="2:6" ht="14.65" customHeight="1" x14ac:dyDescent="0.25">
      <c r="B115" s="128">
        <f>ÜLDANDMED!G10</f>
        <v>2026</v>
      </c>
      <c r="C115" s="76" t="s">
        <v>126</v>
      </c>
      <c r="D115" s="270"/>
      <c r="E115" s="228"/>
    </row>
    <row r="116" spans="2:6" ht="14.65" customHeight="1" x14ac:dyDescent="0.25">
      <c r="B116" s="82"/>
      <c r="C116" s="81" t="s">
        <v>107</v>
      </c>
      <c r="D116" s="424"/>
      <c r="E116" s="414">
        <f>D116*sõiduauto_bensiin_2026/1000</f>
        <v>0</v>
      </c>
    </row>
    <row r="117" spans="2:6" ht="14.65" customHeight="1" x14ac:dyDescent="0.25">
      <c r="B117" s="82"/>
      <c r="C117" s="81" t="s">
        <v>108</v>
      </c>
      <c r="D117" s="424"/>
      <c r="E117" s="414">
        <f>D117*sõiduauto_diisel_2026/1000</f>
        <v>0</v>
      </c>
    </row>
    <row r="118" spans="2:6" ht="14.65" customHeight="1" x14ac:dyDescent="0.25">
      <c r="B118" s="82"/>
      <c r="C118" s="214" t="s">
        <v>341</v>
      </c>
      <c r="D118" s="424"/>
      <c r="E118" s="414">
        <f>D118*sõiduauto_bioCNG_2026/1000</f>
        <v>0</v>
      </c>
    </row>
    <row r="119" spans="2:6" ht="14.65" customHeight="1" x14ac:dyDescent="0.25">
      <c r="B119" s="82"/>
      <c r="C119" s="214" t="s">
        <v>342</v>
      </c>
      <c r="D119" s="424"/>
      <c r="E119" s="414">
        <f>D119*sõiduauto_CNG_2026/1000</f>
        <v>0</v>
      </c>
    </row>
    <row r="120" spans="2:6" ht="14.65" customHeight="1" x14ac:dyDescent="0.25">
      <c r="B120" s="82"/>
      <c r="C120" s="81" t="s">
        <v>339</v>
      </c>
      <c r="D120" s="424"/>
      <c r="E120" s="414">
        <f>D120*sõiduauto_hübriid_2026/1000</f>
        <v>0</v>
      </c>
    </row>
    <row r="121" spans="2:6" ht="14.65" customHeight="1" x14ac:dyDescent="0.25">
      <c r="B121" s="82"/>
      <c r="C121" s="81" t="s">
        <v>127</v>
      </c>
      <c r="D121" s="424"/>
      <c r="E121" s="414">
        <f>D121*sõiduauto_taastuvelekter/1000</f>
        <v>0</v>
      </c>
    </row>
    <row r="122" spans="2:6" ht="14.65" customHeight="1" x14ac:dyDescent="0.25">
      <c r="B122" s="82"/>
      <c r="C122" s="81" t="s">
        <v>128</v>
      </c>
      <c r="D122" s="424"/>
      <c r="E122" s="414">
        <f>D122*sõiduauto_tavaelekter_2026/1000</f>
        <v>0</v>
      </c>
    </row>
    <row r="123" spans="2:6" ht="14.65" customHeight="1" x14ac:dyDescent="0.25">
      <c r="B123" s="77"/>
      <c r="C123" s="71" t="s">
        <v>111</v>
      </c>
      <c r="D123" s="424"/>
      <c r="E123" s="414">
        <f>D123*sõiduk_takso_2026/1000</f>
        <v>0</v>
      </c>
    </row>
    <row r="124" spans="2:6" s="152" customFormat="1" ht="14.65" customHeight="1" x14ac:dyDescent="0.25">
      <c r="B124" s="77"/>
      <c r="C124" s="180" t="s">
        <v>129</v>
      </c>
      <c r="D124" s="271"/>
      <c r="E124" s="240"/>
    </row>
    <row r="125" spans="2:6" ht="14.65" customHeight="1" x14ac:dyDescent="0.25">
      <c r="B125" s="77"/>
      <c r="C125" s="71" t="s">
        <v>115</v>
      </c>
      <c r="D125" s="424"/>
      <c r="E125" s="414">
        <f>D125*sõiduk_buss_linnaliin_Tallinn_2026/1000</f>
        <v>0</v>
      </c>
    </row>
    <row r="126" spans="2:6" ht="14.65" customHeight="1" x14ac:dyDescent="0.25">
      <c r="B126" s="77"/>
      <c r="C126" s="71" t="s">
        <v>116</v>
      </c>
      <c r="D126" s="424"/>
      <c r="E126" s="414">
        <f>D126*sõiduk_buss_linnaliin_Eesti_2026/1000</f>
        <v>0</v>
      </c>
      <c r="F126" s="49"/>
    </row>
    <row r="127" spans="2:6" ht="14.65" customHeight="1" x14ac:dyDescent="0.25">
      <c r="B127" s="77"/>
      <c r="C127" s="71" t="s">
        <v>130</v>
      </c>
      <c r="D127" s="424"/>
      <c r="E127" s="414">
        <f>D127*sõiduk_buss_maakondlik_2026/1000</f>
        <v>0</v>
      </c>
    </row>
    <row r="128" spans="2:6" ht="14.65" customHeight="1" x14ac:dyDescent="0.25">
      <c r="B128" s="77"/>
      <c r="C128" s="71" t="s">
        <v>131</v>
      </c>
      <c r="D128" s="424"/>
      <c r="E128" s="414">
        <f>D128*sõiduk_tramm/1000</f>
        <v>0</v>
      </c>
    </row>
    <row r="129" spans="2:5" ht="14.65" customHeight="1" x14ac:dyDescent="0.25">
      <c r="B129" s="77"/>
      <c r="C129" s="71" t="s">
        <v>117</v>
      </c>
      <c r="D129" s="424"/>
      <c r="E129" s="414">
        <f>D129*sõiduk_diiselrong_2026/1000</f>
        <v>0</v>
      </c>
    </row>
    <row r="130" spans="2:5" ht="14.65" customHeight="1" x14ac:dyDescent="0.25">
      <c r="B130" s="77"/>
      <c r="C130" s="71" t="s">
        <v>118</v>
      </c>
      <c r="D130" s="424"/>
      <c r="E130" s="414">
        <f>D130*sõiduk_elektrirong/1000</f>
        <v>0</v>
      </c>
    </row>
    <row r="131" spans="2:5" ht="14.65" customHeight="1" x14ac:dyDescent="0.25">
      <c r="B131" s="77"/>
      <c r="C131" s="92" t="s">
        <v>132</v>
      </c>
      <c r="D131" s="271"/>
      <c r="E131" s="240"/>
    </row>
    <row r="132" spans="2:5" ht="14.65" customHeight="1" x14ac:dyDescent="0.25">
      <c r="B132" s="77"/>
      <c r="C132" s="207" t="s">
        <v>133</v>
      </c>
      <c r="D132" s="424"/>
      <c r="E132" s="414">
        <f>D132*sõiduk_tavajalgratas/1000</f>
        <v>0</v>
      </c>
    </row>
    <row r="133" spans="2:5" ht="14.65" customHeight="1" x14ac:dyDescent="0.25">
      <c r="B133" s="77"/>
      <c r="C133" s="207" t="s">
        <v>134</v>
      </c>
      <c r="D133" s="424"/>
      <c r="E133" s="414">
        <f>D133*sõiduk_taastuvelektriratas/1000</f>
        <v>0</v>
      </c>
    </row>
    <row r="134" spans="2:5" ht="14.65" customHeight="1" x14ac:dyDescent="0.25">
      <c r="B134" s="77"/>
      <c r="C134" s="81" t="s">
        <v>135</v>
      </c>
      <c r="D134" s="424"/>
      <c r="E134" s="414">
        <f>D134*sõiduk_tavaelektriratas_2026/1000</f>
        <v>0</v>
      </c>
    </row>
    <row r="135" spans="2:5" ht="14.65" customHeight="1" thickBot="1" x14ac:dyDescent="0.3">
      <c r="B135" s="85"/>
      <c r="C135" s="318" t="s">
        <v>136</v>
      </c>
      <c r="D135" s="425"/>
      <c r="E135" s="426">
        <f>D135*tööle_koju_jalgsi/1000</f>
        <v>0</v>
      </c>
    </row>
    <row r="136" spans="2:5" ht="14.65" customHeight="1" thickBot="1" x14ac:dyDescent="0.3">
      <c r="B136" s="130"/>
      <c r="C136" s="222" t="s">
        <v>137</v>
      </c>
      <c r="D136" s="272"/>
      <c r="E136" s="427">
        <f>SUM(E116:E135)</f>
        <v>0</v>
      </c>
    </row>
    <row r="137" spans="2:5" ht="14.65" customHeight="1" x14ac:dyDescent="0.25">
      <c r="B137" s="208"/>
      <c r="C137" s="220"/>
      <c r="D137" s="93"/>
      <c r="E137"/>
    </row>
    <row r="138" spans="2:5" ht="14.65" customHeight="1" thickBot="1" x14ac:dyDescent="0.3">
      <c r="B138" s="208"/>
      <c r="C138" s="220"/>
      <c r="D138" s="93"/>
      <c r="E138"/>
    </row>
    <row r="139" spans="2:5" ht="14.65" customHeight="1" x14ac:dyDescent="0.25">
      <c r="B139" s="603" t="s">
        <v>9</v>
      </c>
      <c r="C139" s="603" t="s">
        <v>10</v>
      </c>
      <c r="D139" s="662" t="s">
        <v>124</v>
      </c>
      <c r="E139" s="653" t="s">
        <v>125</v>
      </c>
    </row>
    <row r="140" spans="2:5" ht="35.65" customHeight="1" thickBot="1" x14ac:dyDescent="0.3">
      <c r="B140" s="605"/>
      <c r="C140" s="605"/>
      <c r="D140" s="663"/>
      <c r="E140" s="655"/>
    </row>
    <row r="141" spans="2:5" ht="14.65" customHeight="1" x14ac:dyDescent="0.25">
      <c r="B141" s="128">
        <f>ÜLDANDMED!H10</f>
        <v>2027</v>
      </c>
      <c r="C141" s="76" t="s">
        <v>126</v>
      </c>
      <c r="D141" s="270"/>
      <c r="E141" s="228"/>
    </row>
    <row r="142" spans="2:5" ht="14.65" customHeight="1" x14ac:dyDescent="0.25">
      <c r="B142" s="82"/>
      <c r="C142" s="81" t="s">
        <v>107</v>
      </c>
      <c r="D142" s="424"/>
      <c r="E142" s="414">
        <f>D142*sõiduauto_bensiin_2027/1000</f>
        <v>0</v>
      </c>
    </row>
    <row r="143" spans="2:5" ht="14.65" customHeight="1" x14ac:dyDescent="0.25">
      <c r="B143" s="82"/>
      <c r="C143" s="81" t="s">
        <v>108</v>
      </c>
      <c r="D143" s="424"/>
      <c r="E143" s="414">
        <f>D143*sõiduauto_diisel_2027/1000</f>
        <v>0</v>
      </c>
    </row>
    <row r="144" spans="2:5" ht="14.65" customHeight="1" x14ac:dyDescent="0.25">
      <c r="B144" s="82"/>
      <c r="C144" s="214" t="s">
        <v>341</v>
      </c>
      <c r="D144" s="424"/>
      <c r="E144" s="414">
        <f>D144*sõiduauto_bioCNG_2027/1000</f>
        <v>0</v>
      </c>
    </row>
    <row r="145" spans="2:6" ht="14.65" customHeight="1" x14ac:dyDescent="0.25">
      <c r="B145" s="82"/>
      <c r="C145" s="214" t="s">
        <v>342</v>
      </c>
      <c r="D145" s="424"/>
      <c r="E145" s="414">
        <f>D145*sõiduauto_CNG_2027/1000</f>
        <v>0</v>
      </c>
    </row>
    <row r="146" spans="2:6" ht="14.65" customHeight="1" x14ac:dyDescent="0.25">
      <c r="B146" s="82"/>
      <c r="C146" s="81" t="s">
        <v>339</v>
      </c>
      <c r="D146" s="424"/>
      <c r="E146" s="414">
        <f>D146*sõiduauto_hübriid_2027/1000</f>
        <v>0</v>
      </c>
    </row>
    <row r="147" spans="2:6" ht="14.65" customHeight="1" x14ac:dyDescent="0.25">
      <c r="B147" s="82"/>
      <c r="C147" s="81" t="s">
        <v>127</v>
      </c>
      <c r="D147" s="424"/>
      <c r="E147" s="414">
        <f>D147*sõiduauto_taastuvelekter/1000</f>
        <v>0</v>
      </c>
    </row>
    <row r="148" spans="2:6" ht="14.65" customHeight="1" x14ac:dyDescent="0.25">
      <c r="B148" s="82"/>
      <c r="C148" s="81" t="s">
        <v>128</v>
      </c>
      <c r="D148" s="424"/>
      <c r="E148" s="414">
        <f>D148*sõiduauto_tavaelekter_2027/1000</f>
        <v>0</v>
      </c>
    </row>
    <row r="149" spans="2:6" ht="14.65" customHeight="1" x14ac:dyDescent="0.25">
      <c r="B149" s="77"/>
      <c r="C149" s="71" t="s">
        <v>111</v>
      </c>
      <c r="D149" s="424"/>
      <c r="E149" s="414">
        <f>D149*sõiduk_takso_2027/1000</f>
        <v>0</v>
      </c>
    </row>
    <row r="150" spans="2:6" s="152" customFormat="1" ht="14.65" customHeight="1" x14ac:dyDescent="0.25">
      <c r="B150" s="77"/>
      <c r="C150" s="180" t="s">
        <v>129</v>
      </c>
      <c r="D150" s="271"/>
      <c r="E150" s="240"/>
    </row>
    <row r="151" spans="2:6" ht="14.65" customHeight="1" x14ac:dyDescent="0.25">
      <c r="B151" s="77"/>
      <c r="C151" s="71" t="s">
        <v>115</v>
      </c>
      <c r="D151" s="424"/>
      <c r="E151" s="414">
        <f>D151*sõiduk_buss_linnaliin_Tallinn_2027/1000</f>
        <v>0</v>
      </c>
    </row>
    <row r="152" spans="2:6" ht="14.65" customHeight="1" x14ac:dyDescent="0.25">
      <c r="B152" s="77"/>
      <c r="C152" s="71" t="s">
        <v>116</v>
      </c>
      <c r="D152" s="424"/>
      <c r="E152" s="414">
        <f>D152*sõiduk_buss_linnaliin_Eesti_2027/1000</f>
        <v>0</v>
      </c>
      <c r="F152" s="49"/>
    </row>
    <row r="153" spans="2:6" ht="14.65" customHeight="1" x14ac:dyDescent="0.25">
      <c r="B153" s="77"/>
      <c r="C153" s="71" t="s">
        <v>130</v>
      </c>
      <c r="D153" s="424"/>
      <c r="E153" s="414">
        <f>D153*sõiduk_buss_maakondlik_2027/1000</f>
        <v>0</v>
      </c>
    </row>
    <row r="154" spans="2:6" ht="14.65" customHeight="1" x14ac:dyDescent="0.25">
      <c r="B154" s="77"/>
      <c r="C154" s="71" t="s">
        <v>131</v>
      </c>
      <c r="D154" s="424"/>
      <c r="E154" s="414">
        <f>D154*sõiduk_tramm/1000</f>
        <v>0</v>
      </c>
    </row>
    <row r="155" spans="2:6" ht="14.65" customHeight="1" x14ac:dyDescent="0.25">
      <c r="B155" s="77"/>
      <c r="C155" s="71" t="s">
        <v>117</v>
      </c>
      <c r="D155" s="424"/>
      <c r="E155" s="414">
        <f>D155*sõiduk_diiselrong_2027/1000</f>
        <v>0</v>
      </c>
    </row>
    <row r="156" spans="2:6" ht="14.65" customHeight="1" x14ac:dyDescent="0.25">
      <c r="B156" s="77"/>
      <c r="C156" s="71" t="s">
        <v>118</v>
      </c>
      <c r="D156" s="424"/>
      <c r="E156" s="414">
        <f>D156*sõiduk_elektrirong/1000</f>
        <v>0</v>
      </c>
    </row>
    <row r="157" spans="2:6" ht="14.65" customHeight="1" x14ac:dyDescent="0.25">
      <c r="B157" s="77"/>
      <c r="C157" s="92" t="s">
        <v>132</v>
      </c>
      <c r="D157" s="271"/>
      <c r="E157" s="240"/>
    </row>
    <row r="158" spans="2:6" ht="14.65" customHeight="1" x14ac:dyDescent="0.25">
      <c r="B158" s="77"/>
      <c r="C158" s="207" t="s">
        <v>133</v>
      </c>
      <c r="D158" s="424"/>
      <c r="E158" s="414">
        <f>D158*sõiduk_tavajalgratas/1000</f>
        <v>0</v>
      </c>
    </row>
    <row r="159" spans="2:6" ht="14.65" customHeight="1" x14ac:dyDescent="0.25">
      <c r="B159" s="77"/>
      <c r="C159" s="207" t="s">
        <v>134</v>
      </c>
      <c r="D159" s="424"/>
      <c r="E159" s="414">
        <f>D159*sõiduk_taastuvelektriratas/1000</f>
        <v>0</v>
      </c>
    </row>
    <row r="160" spans="2:6" ht="14.65" customHeight="1" x14ac:dyDescent="0.25">
      <c r="B160" s="77"/>
      <c r="C160" s="81" t="s">
        <v>135</v>
      </c>
      <c r="D160" s="424"/>
      <c r="E160" s="414">
        <f>D160*sõiduk_tavaelektriratas_2027/1000</f>
        <v>0</v>
      </c>
    </row>
    <row r="161" spans="2:5" ht="14.65" customHeight="1" thickBot="1" x14ac:dyDescent="0.3">
      <c r="B161" s="85"/>
      <c r="C161" s="318" t="s">
        <v>136</v>
      </c>
      <c r="D161" s="425"/>
      <c r="E161" s="426">
        <f>D161*tööle_koju_jalgsi/1000</f>
        <v>0</v>
      </c>
    </row>
    <row r="162" spans="2:5" ht="14.65" customHeight="1" thickBot="1" x14ac:dyDescent="0.3">
      <c r="B162" s="130"/>
      <c r="C162" s="222" t="s">
        <v>137</v>
      </c>
      <c r="D162" s="272"/>
      <c r="E162" s="427">
        <f>SUM(E142:E161)</f>
        <v>0</v>
      </c>
    </row>
    <row r="163" spans="2:5" ht="14.65" customHeight="1" x14ac:dyDescent="0.25">
      <c r="B163" s="208"/>
      <c r="C163" s="220"/>
      <c r="D163" s="93"/>
      <c r="E163"/>
    </row>
    <row r="164" spans="2:5" ht="14.65" customHeight="1" thickBot="1" x14ac:dyDescent="0.3">
      <c r="B164" s="208"/>
      <c r="C164" s="220"/>
      <c r="D164" s="93"/>
      <c r="E164"/>
    </row>
    <row r="165" spans="2:5" ht="14.65" customHeight="1" x14ac:dyDescent="0.25">
      <c r="B165" s="603" t="s">
        <v>9</v>
      </c>
      <c r="C165" s="603" t="s">
        <v>10</v>
      </c>
      <c r="D165" s="662" t="s">
        <v>124</v>
      </c>
      <c r="E165" s="653" t="s">
        <v>125</v>
      </c>
    </row>
    <row r="166" spans="2:5" ht="32.65" customHeight="1" thickBot="1" x14ac:dyDescent="0.3">
      <c r="B166" s="605"/>
      <c r="C166" s="605"/>
      <c r="D166" s="663"/>
      <c r="E166" s="655"/>
    </row>
    <row r="167" spans="2:5" ht="14.65" customHeight="1" x14ac:dyDescent="0.25">
      <c r="B167" s="128">
        <f>ÜLDANDMED!I10</f>
        <v>2028</v>
      </c>
      <c r="C167" s="76" t="s">
        <v>126</v>
      </c>
      <c r="D167" s="270"/>
      <c r="E167" s="228"/>
    </row>
    <row r="168" spans="2:5" ht="14.65" customHeight="1" x14ac:dyDescent="0.25">
      <c r="B168" s="82"/>
      <c r="C168" s="81" t="s">
        <v>107</v>
      </c>
      <c r="D168" s="424"/>
      <c r="E168" s="414">
        <f>D168*sõiduauto_bensiin_2028/1000</f>
        <v>0</v>
      </c>
    </row>
    <row r="169" spans="2:5" ht="14.65" customHeight="1" x14ac:dyDescent="0.25">
      <c r="B169" s="82"/>
      <c r="C169" s="81" t="s">
        <v>108</v>
      </c>
      <c r="D169" s="424"/>
      <c r="E169" s="414">
        <f>D169*sõiduauto_diisel_2028/1000</f>
        <v>0</v>
      </c>
    </row>
    <row r="170" spans="2:5" ht="14.65" customHeight="1" x14ac:dyDescent="0.25">
      <c r="B170" s="82"/>
      <c r="C170" s="214" t="s">
        <v>341</v>
      </c>
      <c r="D170" s="424"/>
      <c r="E170" s="414">
        <f>D170*sõiduauto_bioCNG_2028/1000</f>
        <v>0</v>
      </c>
    </row>
    <row r="171" spans="2:5" ht="14.65" customHeight="1" x14ac:dyDescent="0.25">
      <c r="B171" s="82"/>
      <c r="C171" s="214" t="s">
        <v>342</v>
      </c>
      <c r="D171" s="424"/>
      <c r="E171" s="414">
        <f>D171*sõiduauto_CNG_2028/1000</f>
        <v>0</v>
      </c>
    </row>
    <row r="172" spans="2:5" ht="14.65" customHeight="1" x14ac:dyDescent="0.25">
      <c r="B172" s="82"/>
      <c r="C172" s="81" t="s">
        <v>339</v>
      </c>
      <c r="D172" s="424"/>
      <c r="E172" s="414">
        <f>D172*sõiduauto_hübriid_2028/1000</f>
        <v>0</v>
      </c>
    </row>
    <row r="173" spans="2:5" ht="14.65" customHeight="1" x14ac:dyDescent="0.25">
      <c r="B173" s="82"/>
      <c r="C173" s="81" t="s">
        <v>127</v>
      </c>
      <c r="D173" s="424"/>
      <c r="E173" s="414">
        <f>D173*sõiduauto_taastuvelekter/1000</f>
        <v>0</v>
      </c>
    </row>
    <row r="174" spans="2:5" ht="14.65" customHeight="1" x14ac:dyDescent="0.25">
      <c r="B174" s="82"/>
      <c r="C174" s="81" t="s">
        <v>128</v>
      </c>
      <c r="D174" s="424"/>
      <c r="E174" s="414">
        <f>D174*sõiduauto_tavaelekter_2028/1000</f>
        <v>0</v>
      </c>
    </row>
    <row r="175" spans="2:5" ht="14.65" customHeight="1" x14ac:dyDescent="0.25">
      <c r="B175" s="77"/>
      <c r="C175" s="71" t="s">
        <v>111</v>
      </c>
      <c r="D175" s="424"/>
      <c r="E175" s="414">
        <f>D175*sõiduk_takso_2028/1000</f>
        <v>0</v>
      </c>
    </row>
    <row r="176" spans="2:5" s="152" customFormat="1" ht="14.65" customHeight="1" x14ac:dyDescent="0.25">
      <c r="B176" s="77"/>
      <c r="C176" s="180" t="s">
        <v>129</v>
      </c>
      <c r="D176" s="271"/>
      <c r="E176" s="240"/>
    </row>
    <row r="177" spans="2:6" ht="14.65" customHeight="1" x14ac:dyDescent="0.25">
      <c r="B177" s="77"/>
      <c r="C177" s="71" t="s">
        <v>115</v>
      </c>
      <c r="D177" s="424"/>
      <c r="E177" s="414">
        <f>D177*sõiduk_buss_linnaliin_Tallinn_2028/1000</f>
        <v>0</v>
      </c>
    </row>
    <row r="178" spans="2:6" ht="14.65" customHeight="1" x14ac:dyDescent="0.25">
      <c r="B178" s="77"/>
      <c r="C178" s="71" t="s">
        <v>116</v>
      </c>
      <c r="D178" s="424"/>
      <c r="E178" s="414">
        <f>D178*sõiduk_buss_linnaliin_Eesti_2028/1000</f>
        <v>0</v>
      </c>
      <c r="F178" s="49"/>
    </row>
    <row r="179" spans="2:6" ht="14.65" customHeight="1" x14ac:dyDescent="0.25">
      <c r="B179" s="77"/>
      <c r="C179" s="71" t="s">
        <v>130</v>
      </c>
      <c r="D179" s="424"/>
      <c r="E179" s="414">
        <f>D179*sõiduk_buss_maakondlik_2028/1000</f>
        <v>0</v>
      </c>
    </row>
    <row r="180" spans="2:6" ht="14.65" customHeight="1" x14ac:dyDescent="0.25">
      <c r="B180" s="77"/>
      <c r="C180" s="71" t="s">
        <v>131</v>
      </c>
      <c r="D180" s="424"/>
      <c r="E180" s="414">
        <f>D180*sõiduk_tramm/1000</f>
        <v>0</v>
      </c>
    </row>
    <row r="181" spans="2:6" ht="14.65" customHeight="1" x14ac:dyDescent="0.25">
      <c r="B181" s="77"/>
      <c r="C181" s="71" t="s">
        <v>117</v>
      </c>
      <c r="D181" s="424"/>
      <c r="E181" s="414">
        <f>D181*sõiduk_diiselrong_2028/1000</f>
        <v>0</v>
      </c>
    </row>
    <row r="182" spans="2:6" ht="14.65" customHeight="1" x14ac:dyDescent="0.25">
      <c r="B182" s="77"/>
      <c r="C182" s="71" t="s">
        <v>118</v>
      </c>
      <c r="D182" s="424"/>
      <c r="E182" s="414">
        <f>D182*sõiduk_elektrirong/1000</f>
        <v>0</v>
      </c>
    </row>
    <row r="183" spans="2:6" ht="14.65" customHeight="1" x14ac:dyDescent="0.25">
      <c r="B183" s="77"/>
      <c r="C183" s="92" t="s">
        <v>132</v>
      </c>
      <c r="D183" s="271"/>
      <c r="E183" s="240"/>
    </row>
    <row r="184" spans="2:6" ht="14.65" customHeight="1" x14ac:dyDescent="0.25">
      <c r="B184" s="77"/>
      <c r="C184" s="207" t="s">
        <v>133</v>
      </c>
      <c r="D184" s="424"/>
      <c r="E184" s="414">
        <f>D184*sõiduk_tavajalgratas/1000</f>
        <v>0</v>
      </c>
    </row>
    <row r="185" spans="2:6" ht="14.65" customHeight="1" x14ac:dyDescent="0.25">
      <c r="B185" s="77"/>
      <c r="C185" s="207" t="s">
        <v>134</v>
      </c>
      <c r="D185" s="424"/>
      <c r="E185" s="414">
        <f>D185*sõiduk_taastuvelektriratas/1000</f>
        <v>0</v>
      </c>
    </row>
    <row r="186" spans="2:6" ht="14.65" customHeight="1" x14ac:dyDescent="0.25">
      <c r="B186" s="77"/>
      <c r="C186" s="81" t="s">
        <v>135</v>
      </c>
      <c r="D186" s="424"/>
      <c r="E186" s="414">
        <f>D186*sõiduk_tavaelektriratas_2028/1000</f>
        <v>0</v>
      </c>
    </row>
    <row r="187" spans="2:6" ht="14.65" customHeight="1" thickBot="1" x14ac:dyDescent="0.3">
      <c r="B187" s="85"/>
      <c r="C187" s="318" t="s">
        <v>136</v>
      </c>
      <c r="D187" s="425"/>
      <c r="E187" s="426">
        <f>D187*tööle_koju_jalgsi/1000</f>
        <v>0</v>
      </c>
    </row>
    <row r="188" spans="2:6" ht="14.65" customHeight="1" thickBot="1" x14ac:dyDescent="0.3">
      <c r="B188" s="130"/>
      <c r="C188" s="222" t="s">
        <v>137</v>
      </c>
      <c r="D188" s="272"/>
      <c r="E188" s="427">
        <f>SUM(E168:E187)</f>
        <v>0</v>
      </c>
    </row>
    <row r="189" spans="2:6" ht="14.65" customHeight="1" x14ac:dyDescent="0.25">
      <c r="C189"/>
      <c r="D189" s="93"/>
    </row>
  </sheetData>
  <mergeCells count="29">
    <mergeCell ref="B35:B36"/>
    <mergeCell ref="C35:C36"/>
    <mergeCell ref="D35:D36"/>
    <mergeCell ref="E35:E36"/>
    <mergeCell ref="B61:B62"/>
    <mergeCell ref="C61:C62"/>
    <mergeCell ref="D61:D62"/>
    <mergeCell ref="E61:E62"/>
    <mergeCell ref="B9:B10"/>
    <mergeCell ref="C9:C10"/>
    <mergeCell ref="D9:D10"/>
    <mergeCell ref="E9:E10"/>
    <mergeCell ref="B3:E3"/>
    <mergeCell ref="E87:E88"/>
    <mergeCell ref="B113:B114"/>
    <mergeCell ref="C113:C114"/>
    <mergeCell ref="D113:D114"/>
    <mergeCell ref="E113:E114"/>
    <mergeCell ref="B87:B88"/>
    <mergeCell ref="C87:C88"/>
    <mergeCell ref="D87:D88"/>
    <mergeCell ref="B139:B140"/>
    <mergeCell ref="C139:C140"/>
    <mergeCell ref="D139:D140"/>
    <mergeCell ref="E139:E140"/>
    <mergeCell ref="B165:B166"/>
    <mergeCell ref="C165:C166"/>
    <mergeCell ref="D165:D166"/>
    <mergeCell ref="E165:E166"/>
  </mergeCells>
  <dataValidations count="1">
    <dataValidation type="list" allowBlank="1" showInputMessage="1" showErrorMessage="1" sqref="K7" xr:uid="{124E6F50-0359-4667-BA0F-4AEF6C4A3BCD}">
      <formula1>$A$17:$A$23</formula1>
    </dataValidation>
  </dataValidations>
  <pageMargins left="0.70866141732283472" right="0.70866141732283472" top="0.74803149606299213" bottom="0.74803149606299213" header="0.31496062992125984" footer="0.31496062992125984"/>
  <pageSetup scale="75" fitToHeight="2"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0CC45-1092-413F-87D3-4ED5C2B27B62}">
  <sheetPr>
    <tabColor rgb="FFFB8604"/>
    <pageSetUpPr fitToPage="1"/>
  </sheetPr>
  <dimension ref="B1:Q119"/>
  <sheetViews>
    <sheetView showGridLines="0" zoomScaleNormal="100" workbookViewId="0">
      <pane xSplit="1" ySplit="1" topLeftCell="B2" activePane="bottomRight" state="frozen"/>
      <selection pane="topRight" activeCell="B1" sqref="B1"/>
      <selection pane="bottomLeft" activeCell="A3" sqref="A3"/>
      <selection pane="bottomRight" activeCell="D23" sqref="D23"/>
    </sheetView>
  </sheetViews>
  <sheetFormatPr defaultRowHeight="14.65" customHeight="1" x14ac:dyDescent="0.25"/>
  <cols>
    <col min="1" max="1" width="2.5703125" customWidth="1"/>
    <col min="2" max="2" width="7.5703125" customWidth="1"/>
    <col min="3" max="3" width="43.7109375" style="3" bestFit="1" customWidth="1"/>
    <col min="4" max="4" width="17.42578125" style="3" bestFit="1" customWidth="1"/>
    <col min="5" max="5" width="15.7109375" style="3" customWidth="1"/>
    <col min="6" max="6" width="23.7109375" style="3" bestFit="1" customWidth="1"/>
    <col min="7" max="7" width="15.7109375" style="68" customWidth="1"/>
    <col min="8" max="8" width="15.7109375" style="3" customWidth="1"/>
    <col min="9" max="9" width="15.7109375" customWidth="1"/>
    <col min="10" max="10" width="16" style="3" bestFit="1" customWidth="1"/>
    <col min="11" max="11" width="15.7109375" style="39" customWidth="1"/>
  </cols>
  <sheetData>
    <row r="1" spans="2:17" ht="18.600000000000001" customHeight="1" x14ac:dyDescent="0.35">
      <c r="B1" s="28" t="s">
        <v>138</v>
      </c>
      <c r="C1" s="273"/>
      <c r="E1" s="78"/>
    </row>
    <row r="2" spans="2:17" ht="14.65" customHeight="1" x14ac:dyDescent="0.3">
      <c r="C2" s="79"/>
      <c r="E2" s="79"/>
    </row>
    <row r="3" spans="2:17" s="537" customFormat="1" ht="46.9" customHeight="1" x14ac:dyDescent="0.25">
      <c r="B3" s="670" t="s">
        <v>508</v>
      </c>
      <c r="C3" s="671"/>
      <c r="D3" s="671"/>
      <c r="E3" s="671"/>
      <c r="F3" s="671"/>
      <c r="G3" s="671"/>
      <c r="H3" s="671"/>
      <c r="I3" s="671"/>
      <c r="J3" s="671"/>
      <c r="K3" s="672"/>
    </row>
    <row r="4" spans="2:17" s="537" customFormat="1" ht="91.9" customHeight="1" x14ac:dyDescent="0.25">
      <c r="B4" s="632" t="s">
        <v>509</v>
      </c>
      <c r="C4" s="633"/>
      <c r="D4" s="633"/>
      <c r="E4" s="633"/>
      <c r="F4" s="633"/>
      <c r="G4" s="633"/>
      <c r="H4" s="633"/>
      <c r="I4" s="633"/>
      <c r="J4" s="633"/>
      <c r="K4" s="673"/>
    </row>
    <row r="6" spans="2:17" ht="14.65" customHeight="1" x14ac:dyDescent="0.25">
      <c r="B6" s="60" t="s">
        <v>2</v>
      </c>
      <c r="C6" s="80"/>
      <c r="E6" s="80"/>
    </row>
    <row r="7" spans="2:17" ht="14.65" customHeight="1" x14ac:dyDescent="0.25">
      <c r="C7" s="377" t="s">
        <v>3</v>
      </c>
      <c r="E7"/>
    </row>
    <row r="8" spans="2:17" ht="14.65" customHeight="1" x14ac:dyDescent="0.25">
      <c r="C8" s="339" t="s">
        <v>4</v>
      </c>
      <c r="E8"/>
    </row>
    <row r="9" spans="2:17" s="19" customFormat="1" ht="14.65" customHeight="1" thickBot="1" x14ac:dyDescent="0.3">
      <c r="C9" s="150" t="s">
        <v>7</v>
      </c>
      <c r="D9" s="20"/>
      <c r="G9" s="20"/>
      <c r="H9" s="20"/>
      <c r="I9" s="20"/>
      <c r="J9" s="20"/>
      <c r="K9" s="186"/>
      <c r="L9" s="20"/>
      <c r="M9" s="20"/>
      <c r="N9" s="20"/>
      <c r="O9" s="51"/>
      <c r="P9" s="52"/>
      <c r="Q9"/>
    </row>
    <row r="10" spans="2:17" ht="14.85" customHeight="1" thickBot="1" x14ac:dyDescent="0.3">
      <c r="D10" s="323" t="s">
        <v>504</v>
      </c>
      <c r="E10" s="587" t="s">
        <v>505</v>
      </c>
      <c r="F10" s="588"/>
      <c r="G10" s="587" t="s">
        <v>506</v>
      </c>
      <c r="H10" s="588"/>
      <c r="I10" s="587" t="s">
        <v>507</v>
      </c>
      <c r="J10" s="588"/>
    </row>
    <row r="11" spans="2:17" ht="14.65" customHeight="1" x14ac:dyDescent="0.25">
      <c r="B11" s="603" t="s">
        <v>9</v>
      </c>
      <c r="C11" s="603" t="s">
        <v>10</v>
      </c>
      <c r="D11" s="664" t="s">
        <v>503</v>
      </c>
      <c r="E11" s="674" t="s">
        <v>87</v>
      </c>
      <c r="F11" s="667" t="s">
        <v>139</v>
      </c>
      <c r="G11" s="677" t="s">
        <v>101</v>
      </c>
      <c r="H11" s="667" t="s">
        <v>140</v>
      </c>
      <c r="I11" s="677" t="s">
        <v>101</v>
      </c>
      <c r="J11" s="667" t="s">
        <v>140</v>
      </c>
      <c r="K11" s="664" t="s">
        <v>141</v>
      </c>
    </row>
    <row r="12" spans="2:17" ht="14.65" customHeight="1" x14ac:dyDescent="0.25">
      <c r="B12" s="604"/>
      <c r="C12" s="604"/>
      <c r="D12" s="665"/>
      <c r="E12" s="675"/>
      <c r="F12" s="668"/>
      <c r="G12" s="678"/>
      <c r="H12" s="668"/>
      <c r="I12" s="678"/>
      <c r="J12" s="668"/>
      <c r="K12" s="665"/>
    </row>
    <row r="13" spans="2:17" ht="14.65" customHeight="1" x14ac:dyDescent="0.25">
      <c r="B13" s="604"/>
      <c r="C13" s="604"/>
      <c r="D13" s="666"/>
      <c r="E13" s="676"/>
      <c r="F13" s="669"/>
      <c r="G13" s="679"/>
      <c r="H13" s="669"/>
      <c r="I13" s="679"/>
      <c r="J13" s="669"/>
      <c r="K13" s="666"/>
    </row>
    <row r="14" spans="2:17" ht="14.65" customHeight="1" thickBot="1" x14ac:dyDescent="0.3">
      <c r="B14" s="604"/>
      <c r="C14" s="604"/>
      <c r="D14" s="206" t="s">
        <v>502</v>
      </c>
      <c r="E14" s="209" t="s">
        <v>142</v>
      </c>
      <c r="F14" s="210" t="s">
        <v>143</v>
      </c>
      <c r="G14" s="211" t="s">
        <v>105</v>
      </c>
      <c r="H14" s="210" t="s">
        <v>144</v>
      </c>
      <c r="I14" s="209" t="s">
        <v>145</v>
      </c>
      <c r="J14" s="212" t="s">
        <v>146</v>
      </c>
      <c r="K14" s="206" t="s">
        <v>147</v>
      </c>
    </row>
    <row r="15" spans="2:17" ht="14.65" customHeight="1" x14ac:dyDescent="0.25">
      <c r="B15" s="128">
        <f>ÜLDANDMED!C10</f>
        <v>2022</v>
      </c>
      <c r="C15" s="148" t="s">
        <v>148</v>
      </c>
      <c r="D15" s="551"/>
      <c r="E15" s="190"/>
      <c r="F15" s="191"/>
      <c r="G15" s="231"/>
      <c r="H15" s="232"/>
      <c r="I15" s="192"/>
      <c r="J15" s="191"/>
      <c r="K15" s="233"/>
    </row>
    <row r="16" spans="2:17" ht="14.65" customHeight="1" x14ac:dyDescent="0.25">
      <c r="B16" s="87"/>
      <c r="C16" s="71" t="s">
        <v>149</v>
      </c>
      <c r="D16" s="229"/>
      <c r="E16" s="435"/>
      <c r="F16" s="428">
        <f>E16*kütus_bensiin_kaubik_2022/1000</f>
        <v>0</v>
      </c>
      <c r="G16" s="438"/>
      <c r="H16" s="430">
        <f>G16*transport_kaubik_bensiin_km_2022/1000</f>
        <v>0</v>
      </c>
      <c r="I16" s="441"/>
      <c r="J16" s="428">
        <f>I16*transport_kaubik_bensiin_tonnkm_2022/1000</f>
        <v>0</v>
      </c>
      <c r="K16" s="432">
        <f>SUM(F16+H16+J16)</f>
        <v>0</v>
      </c>
    </row>
    <row r="17" spans="2:11" ht="14.65" customHeight="1" x14ac:dyDescent="0.25">
      <c r="B17" s="87"/>
      <c r="C17" s="71" t="s">
        <v>150</v>
      </c>
      <c r="D17" s="230"/>
      <c r="E17" s="435"/>
      <c r="F17" s="428">
        <f>E17*kütus_diisel_kaubik_2022/1000</f>
        <v>0</v>
      </c>
      <c r="G17" s="438"/>
      <c r="H17" s="430">
        <f>G17*transport_kaubik_diisel_km_2022/1000</f>
        <v>0</v>
      </c>
      <c r="I17" s="441"/>
      <c r="J17" s="428">
        <f>I17*transport_kaubik_diisel_tonnkm_2022/1000</f>
        <v>0</v>
      </c>
      <c r="K17" s="432">
        <f t="shared" ref="K17:K19" si="0">SUM(F17+H17+J17)</f>
        <v>0</v>
      </c>
    </row>
    <row r="18" spans="2:11" ht="14.65" customHeight="1" x14ac:dyDescent="0.25">
      <c r="B18" s="77"/>
      <c r="C18" s="84" t="s">
        <v>151</v>
      </c>
      <c r="D18" s="229"/>
      <c r="E18" s="435"/>
      <c r="F18" s="428">
        <f>E18*kütus_taastuvelekter/1000</f>
        <v>0</v>
      </c>
      <c r="G18" s="438"/>
      <c r="H18" s="430">
        <f>G18*kütus_taastuvelekter/1000</f>
        <v>0</v>
      </c>
      <c r="I18" s="441"/>
      <c r="J18" s="428">
        <f>I18*kütus_taastuvelekter/1000</f>
        <v>0</v>
      </c>
      <c r="K18" s="432">
        <f t="shared" si="0"/>
        <v>0</v>
      </c>
    </row>
    <row r="19" spans="2:11" ht="14.65" customHeight="1" x14ac:dyDescent="0.25">
      <c r="B19" s="77"/>
      <c r="C19" s="84" t="s">
        <v>152</v>
      </c>
      <c r="D19" s="230"/>
      <c r="E19" s="435"/>
      <c r="F19" s="428">
        <f>E19*segajääk_2022/1000</f>
        <v>0</v>
      </c>
      <c r="G19" s="438"/>
      <c r="H19" s="430">
        <f>G19*transport_kaubik_tavaelekter_km_2022/1000</f>
        <v>0</v>
      </c>
      <c r="I19" s="441"/>
      <c r="J19" s="428">
        <f>I19*transport_kaubik_tavaelekter_tonnkm_2022/1000</f>
        <v>0</v>
      </c>
      <c r="K19" s="432">
        <f t="shared" si="0"/>
        <v>0</v>
      </c>
    </row>
    <row r="20" spans="2:11" ht="14.65" customHeight="1" x14ac:dyDescent="0.25">
      <c r="B20" s="87"/>
      <c r="C20" s="189" t="s">
        <v>153</v>
      </c>
      <c r="D20" s="552"/>
      <c r="E20" s="195"/>
      <c r="F20" s="196"/>
      <c r="G20" s="195"/>
      <c r="H20" s="197"/>
      <c r="I20" s="196"/>
      <c r="J20" s="196"/>
      <c r="K20" s="550"/>
    </row>
    <row r="21" spans="2:11" ht="14.65" customHeight="1" x14ac:dyDescent="0.25">
      <c r="B21" s="77"/>
      <c r="C21" s="47" t="s">
        <v>154</v>
      </c>
      <c r="D21" s="229"/>
      <c r="E21" s="436"/>
      <c r="F21" s="428">
        <f>E21*kütus_diisel_buss_2022/1000</f>
        <v>0</v>
      </c>
      <c r="G21" s="439"/>
      <c r="H21" s="430">
        <f>G21*transport_buss_2022/1000</f>
        <v>0</v>
      </c>
      <c r="I21" s="229"/>
      <c r="J21" s="193"/>
      <c r="K21" s="433">
        <f>SUM(F21+H21)</f>
        <v>0</v>
      </c>
    </row>
    <row r="22" spans="2:11" ht="14.65" customHeight="1" thickBot="1" x14ac:dyDescent="0.3">
      <c r="B22" s="77"/>
      <c r="C22" s="125" t="s">
        <v>155</v>
      </c>
      <c r="D22" s="230"/>
      <c r="E22" s="437"/>
      <c r="F22" s="429">
        <f>E22*kütus_diisel_kaubik_2022/1000</f>
        <v>0</v>
      </c>
      <c r="G22" s="440"/>
      <c r="H22" s="431">
        <f>IFERROR(G22*transport_väikebuss_2022/1000,0)</f>
        <v>0</v>
      </c>
      <c r="I22" s="230"/>
      <c r="J22" s="194"/>
      <c r="K22" s="434">
        <f>SUM(F22+H22)</f>
        <v>0</v>
      </c>
    </row>
    <row r="23" spans="2:11" ht="14.65" customHeight="1" thickBot="1" x14ac:dyDescent="0.3">
      <c r="B23" s="132"/>
      <c r="C23" s="225" t="s">
        <v>156</v>
      </c>
      <c r="D23" s="553"/>
      <c r="E23" s="226"/>
      <c r="F23" s="227"/>
      <c r="G23" s="227"/>
      <c r="H23" s="227"/>
      <c r="I23" s="227"/>
      <c r="J23" s="221"/>
      <c r="K23" s="554">
        <f>SUM(K16:K19,K21:K22,D23)</f>
        <v>0</v>
      </c>
    </row>
    <row r="24" spans="2:11" ht="14.65" customHeight="1" x14ac:dyDescent="0.25">
      <c r="C24" s="198"/>
      <c r="E24"/>
      <c r="F24"/>
      <c r="G24"/>
      <c r="H24"/>
      <c r="J24"/>
      <c r="K24" s="3"/>
    </row>
    <row r="25" spans="2:11" ht="14.65" customHeight="1" thickBot="1" x14ac:dyDescent="0.3">
      <c r="C25" s="12"/>
      <c r="E25"/>
      <c r="F25"/>
      <c r="G25"/>
      <c r="H25"/>
      <c r="J25"/>
    </row>
    <row r="26" spans="2:11" ht="14.85" customHeight="1" thickBot="1" x14ac:dyDescent="0.3">
      <c r="D26" s="323" t="s">
        <v>504</v>
      </c>
      <c r="E26" s="587" t="s">
        <v>505</v>
      </c>
      <c r="F26" s="588"/>
      <c r="G26" s="587" t="s">
        <v>506</v>
      </c>
      <c r="H26" s="588"/>
      <c r="I26" s="587" t="s">
        <v>507</v>
      </c>
      <c r="J26" s="588"/>
    </row>
    <row r="27" spans="2:11" ht="14.65" customHeight="1" x14ac:dyDescent="0.25">
      <c r="B27" s="603" t="s">
        <v>9</v>
      </c>
      <c r="C27" s="603" t="s">
        <v>10</v>
      </c>
      <c r="D27" s="664" t="s">
        <v>503</v>
      </c>
      <c r="E27" s="674" t="s">
        <v>87</v>
      </c>
      <c r="F27" s="667" t="s">
        <v>157</v>
      </c>
      <c r="G27" s="677" t="s">
        <v>101</v>
      </c>
      <c r="H27" s="667" t="s">
        <v>140</v>
      </c>
      <c r="I27" s="677" t="s">
        <v>101</v>
      </c>
      <c r="J27" s="667" t="s">
        <v>140</v>
      </c>
      <c r="K27" s="664" t="s">
        <v>141</v>
      </c>
    </row>
    <row r="28" spans="2:11" ht="14.65" customHeight="1" x14ac:dyDescent="0.25">
      <c r="B28" s="604"/>
      <c r="C28" s="604"/>
      <c r="D28" s="665"/>
      <c r="E28" s="675"/>
      <c r="F28" s="668"/>
      <c r="G28" s="678"/>
      <c r="H28" s="668"/>
      <c r="I28" s="678"/>
      <c r="J28" s="668"/>
      <c r="K28" s="665"/>
    </row>
    <row r="29" spans="2:11" ht="14.65" customHeight="1" x14ac:dyDescent="0.25">
      <c r="B29" s="604"/>
      <c r="C29" s="604"/>
      <c r="D29" s="666"/>
      <c r="E29" s="676"/>
      <c r="F29" s="669"/>
      <c r="G29" s="679"/>
      <c r="H29" s="669"/>
      <c r="I29" s="679"/>
      <c r="J29" s="669"/>
      <c r="K29" s="666"/>
    </row>
    <row r="30" spans="2:11" ht="14.65" customHeight="1" thickBot="1" x14ac:dyDescent="0.3">
      <c r="B30" s="604"/>
      <c r="C30" s="604"/>
      <c r="D30" s="206" t="s">
        <v>502</v>
      </c>
      <c r="E30" s="209" t="s">
        <v>142</v>
      </c>
      <c r="F30" s="210" t="s">
        <v>143</v>
      </c>
      <c r="G30" s="211" t="s">
        <v>105</v>
      </c>
      <c r="H30" s="210" t="s">
        <v>144</v>
      </c>
      <c r="I30" s="209" t="s">
        <v>145</v>
      </c>
      <c r="J30" s="212" t="s">
        <v>146</v>
      </c>
      <c r="K30" s="206" t="s">
        <v>147</v>
      </c>
    </row>
    <row r="31" spans="2:11" ht="14.65" customHeight="1" x14ac:dyDescent="0.25">
      <c r="B31" s="128">
        <f>ÜLDANDMED!D10</f>
        <v>2023</v>
      </c>
      <c r="C31" s="153" t="s">
        <v>148</v>
      </c>
      <c r="D31" s="551"/>
      <c r="E31" s="182"/>
      <c r="F31" s="199"/>
      <c r="G31" s="234"/>
      <c r="H31" s="235"/>
      <c r="I31" s="200"/>
      <c r="J31" s="199"/>
      <c r="K31" s="233"/>
    </row>
    <row r="32" spans="2:11" ht="14.65" customHeight="1" x14ac:dyDescent="0.25">
      <c r="B32" s="87"/>
      <c r="C32" s="71" t="s">
        <v>149</v>
      </c>
      <c r="D32" s="229"/>
      <c r="E32" s="435"/>
      <c r="F32" s="428">
        <f>E32*kütus_bensiin_kaubik_2023/1000</f>
        <v>0</v>
      </c>
      <c r="G32" s="438"/>
      <c r="H32" s="430">
        <f>G32*transport_kaubik_bensiin_km_2023/1000</f>
        <v>0</v>
      </c>
      <c r="I32" s="441"/>
      <c r="J32" s="428">
        <f>I32*transport_kaubik_bensiin_tonnkm_2023/1000</f>
        <v>0</v>
      </c>
      <c r="K32" s="432">
        <f>SUM(F32+H32+J32)</f>
        <v>0</v>
      </c>
    </row>
    <row r="33" spans="2:11" ht="14.65" customHeight="1" x14ac:dyDescent="0.25">
      <c r="B33" s="82"/>
      <c r="C33" s="71" t="s">
        <v>150</v>
      </c>
      <c r="D33" s="230"/>
      <c r="E33" s="435"/>
      <c r="F33" s="428">
        <f>E33*kütus_diisel_kaubik_2023/1000</f>
        <v>0</v>
      </c>
      <c r="G33" s="438"/>
      <c r="H33" s="430">
        <f>G33*transport_kaubik_diisel_km_2023/1000</f>
        <v>0</v>
      </c>
      <c r="I33" s="441"/>
      <c r="J33" s="428">
        <f>I33*transport_kaubik_diisel_tonnkm_2023/1000</f>
        <v>0</v>
      </c>
      <c r="K33" s="432">
        <f t="shared" ref="K33:K35" si="1">SUM(F33+H33+J33)</f>
        <v>0</v>
      </c>
    </row>
    <row r="34" spans="2:11" ht="14.65" customHeight="1" x14ac:dyDescent="0.25">
      <c r="B34" s="82"/>
      <c r="C34" s="84" t="s">
        <v>151</v>
      </c>
      <c r="D34" s="229"/>
      <c r="E34" s="435"/>
      <c r="F34" s="428">
        <f>E34*kütus_taastuvelekter/1000</f>
        <v>0</v>
      </c>
      <c r="G34" s="438"/>
      <c r="H34" s="430">
        <f>G34*kütus_taastuvelekter/1000</f>
        <v>0</v>
      </c>
      <c r="I34" s="441"/>
      <c r="J34" s="428">
        <f>I34*kütus_taastuvelekter/1000</f>
        <v>0</v>
      </c>
      <c r="K34" s="432">
        <f t="shared" si="1"/>
        <v>0</v>
      </c>
    </row>
    <row r="35" spans="2:11" ht="14.65" customHeight="1" x14ac:dyDescent="0.25">
      <c r="B35" s="82"/>
      <c r="C35" s="84" t="s">
        <v>152</v>
      </c>
      <c r="D35" s="230"/>
      <c r="E35" s="435"/>
      <c r="F35" s="428">
        <f>E35*segajääk_2023/1000</f>
        <v>0</v>
      </c>
      <c r="G35" s="438"/>
      <c r="H35" s="430">
        <f>G35*transport_kaubik_tavaelekter_km_2023/1000</f>
        <v>0</v>
      </c>
      <c r="I35" s="441"/>
      <c r="J35" s="428">
        <f>I35*transport_kaubik_tavaelekter_tonnkm_2023/1000</f>
        <v>0</v>
      </c>
      <c r="K35" s="432">
        <f t="shared" si="1"/>
        <v>0</v>
      </c>
    </row>
    <row r="36" spans="2:11" ht="14.65" customHeight="1" x14ac:dyDescent="0.25">
      <c r="B36" s="82"/>
      <c r="C36" s="189" t="s">
        <v>153</v>
      </c>
      <c r="D36" s="552"/>
      <c r="E36" s="195"/>
      <c r="F36" s="196"/>
      <c r="G36" s="195"/>
      <c r="H36" s="197"/>
      <c r="I36" s="201"/>
      <c r="J36" s="202"/>
      <c r="K36" s="550"/>
    </row>
    <row r="37" spans="2:11" ht="14.65" customHeight="1" x14ac:dyDescent="0.25">
      <c r="B37" s="82"/>
      <c r="C37" s="71" t="s">
        <v>154</v>
      </c>
      <c r="D37" s="229"/>
      <c r="E37" s="436"/>
      <c r="F37" s="428">
        <f>E37*kütus_diisel_buss_2023/1000</f>
        <v>0</v>
      </c>
      <c r="G37" s="439"/>
      <c r="H37" s="430">
        <f>G37*transport_buss_2023/1000</f>
        <v>0</v>
      </c>
      <c r="I37" s="229"/>
      <c r="J37" s="236"/>
      <c r="K37" s="433">
        <f>SUM(F37+H37)</f>
        <v>0</v>
      </c>
    </row>
    <row r="38" spans="2:11" ht="14.65" customHeight="1" thickBot="1" x14ac:dyDescent="0.3">
      <c r="B38" s="82"/>
      <c r="C38" s="207" t="s">
        <v>155</v>
      </c>
      <c r="D38" s="230"/>
      <c r="E38" s="437"/>
      <c r="F38" s="429">
        <f>E38*kütus_diisel_kaubik_2023/1000</f>
        <v>0</v>
      </c>
      <c r="G38" s="440"/>
      <c r="H38" s="431">
        <f>IFERROR(G38*transport_väikebuss_2023/1000,0)</f>
        <v>0</v>
      </c>
      <c r="I38" s="230"/>
      <c r="J38" s="237"/>
      <c r="K38" s="434">
        <f>SUM(F38+H38)</f>
        <v>0</v>
      </c>
    </row>
    <row r="39" spans="2:11" ht="14.65" customHeight="1" thickBot="1" x14ac:dyDescent="0.3">
      <c r="B39" s="131"/>
      <c r="C39" s="225" t="s">
        <v>156</v>
      </c>
      <c r="D39" s="553"/>
      <c r="E39" s="226"/>
      <c r="F39" s="227"/>
      <c r="G39" s="227"/>
      <c r="H39" s="227"/>
      <c r="I39" s="227"/>
      <c r="J39" s="221"/>
      <c r="K39" s="554">
        <f>SUM(K32:K35,K37:K38,D39)</f>
        <v>0</v>
      </c>
    </row>
    <row r="40" spans="2:11" ht="14.65" customHeight="1" x14ac:dyDescent="0.25">
      <c r="C40" s="198"/>
      <c r="E40"/>
      <c r="F40"/>
      <c r="G40"/>
      <c r="H40"/>
      <c r="J40"/>
      <c r="K40" s="3"/>
    </row>
    <row r="41" spans="2:11" ht="14.65" customHeight="1" thickBot="1" x14ac:dyDescent="0.3">
      <c r="C41"/>
      <c r="E41"/>
      <c r="F41"/>
      <c r="G41"/>
      <c r="H41"/>
      <c r="J41"/>
    </row>
    <row r="42" spans="2:11" ht="14.85" customHeight="1" thickBot="1" x14ac:dyDescent="0.3">
      <c r="D42" s="323" t="s">
        <v>504</v>
      </c>
      <c r="E42" s="587" t="s">
        <v>505</v>
      </c>
      <c r="F42" s="588"/>
      <c r="G42" s="587" t="s">
        <v>506</v>
      </c>
      <c r="H42" s="588"/>
      <c r="I42" s="587" t="s">
        <v>507</v>
      </c>
      <c r="J42" s="588"/>
    </row>
    <row r="43" spans="2:11" ht="14.65" customHeight="1" x14ac:dyDescent="0.25">
      <c r="B43" s="603" t="s">
        <v>9</v>
      </c>
      <c r="C43" s="603" t="s">
        <v>10</v>
      </c>
      <c r="D43" s="664" t="s">
        <v>503</v>
      </c>
      <c r="E43" s="674" t="s">
        <v>87</v>
      </c>
      <c r="F43" s="667" t="s">
        <v>139</v>
      </c>
      <c r="G43" s="677" t="s">
        <v>101</v>
      </c>
      <c r="H43" s="667" t="s">
        <v>140</v>
      </c>
      <c r="I43" s="677" t="s">
        <v>101</v>
      </c>
      <c r="J43" s="667" t="s">
        <v>140</v>
      </c>
      <c r="K43" s="664" t="s">
        <v>141</v>
      </c>
    </row>
    <row r="44" spans="2:11" ht="14.65" customHeight="1" x14ac:dyDescent="0.25">
      <c r="B44" s="604"/>
      <c r="C44" s="604"/>
      <c r="D44" s="665"/>
      <c r="E44" s="675"/>
      <c r="F44" s="668"/>
      <c r="G44" s="678"/>
      <c r="H44" s="668"/>
      <c r="I44" s="678"/>
      <c r="J44" s="668"/>
      <c r="K44" s="665"/>
    </row>
    <row r="45" spans="2:11" ht="14.65" customHeight="1" x14ac:dyDescent="0.25">
      <c r="B45" s="604"/>
      <c r="C45" s="604"/>
      <c r="D45" s="666"/>
      <c r="E45" s="676"/>
      <c r="F45" s="669"/>
      <c r="G45" s="679"/>
      <c r="H45" s="669"/>
      <c r="I45" s="679"/>
      <c r="J45" s="669"/>
      <c r="K45" s="666"/>
    </row>
    <row r="46" spans="2:11" ht="14.65" customHeight="1" thickBot="1" x14ac:dyDescent="0.3">
      <c r="B46" s="604"/>
      <c r="C46" s="604"/>
      <c r="D46" s="206" t="s">
        <v>502</v>
      </c>
      <c r="E46" s="209" t="s">
        <v>142</v>
      </c>
      <c r="F46" s="210" t="s">
        <v>143</v>
      </c>
      <c r="G46" s="211" t="s">
        <v>105</v>
      </c>
      <c r="H46" s="210" t="s">
        <v>144</v>
      </c>
      <c r="I46" s="209" t="s">
        <v>145</v>
      </c>
      <c r="J46" s="212" t="s">
        <v>146</v>
      </c>
      <c r="K46" s="206" t="s">
        <v>147</v>
      </c>
    </row>
    <row r="47" spans="2:11" ht="14.65" customHeight="1" x14ac:dyDescent="0.25">
      <c r="B47" s="184">
        <f>ÜLDANDMED!E10</f>
        <v>2024</v>
      </c>
      <c r="C47" s="153" t="s">
        <v>148</v>
      </c>
      <c r="D47" s="551"/>
      <c r="E47" s="187"/>
      <c r="F47" s="238"/>
      <c r="G47" s="185"/>
      <c r="H47" s="188"/>
      <c r="I47" s="239"/>
      <c r="J47" s="238"/>
      <c r="K47" s="233"/>
    </row>
    <row r="48" spans="2:11" ht="14.65" customHeight="1" x14ac:dyDescent="0.25">
      <c r="B48" s="85"/>
      <c r="C48" s="71" t="s">
        <v>149</v>
      </c>
      <c r="D48" s="229"/>
      <c r="E48" s="435"/>
      <c r="F48" s="428">
        <f>E48*kütus_bensiin_kaubik_2024/1000</f>
        <v>0</v>
      </c>
      <c r="G48" s="438"/>
      <c r="H48" s="430">
        <f>G48*transport_kaubik_bensiin_km_2024/1000</f>
        <v>0</v>
      </c>
      <c r="I48" s="441"/>
      <c r="J48" s="428">
        <f>I48*transport_kaubik_bensiin_tonnkm_2024/1000</f>
        <v>0</v>
      </c>
      <c r="K48" s="432">
        <f>SUM(F48+H48+J48)</f>
        <v>0</v>
      </c>
    </row>
    <row r="49" spans="2:11" ht="14.65" customHeight="1" x14ac:dyDescent="0.25">
      <c r="B49" s="85"/>
      <c r="C49" s="71" t="s">
        <v>150</v>
      </c>
      <c r="D49" s="230"/>
      <c r="E49" s="435"/>
      <c r="F49" s="428">
        <f>E49*kütus_diisel_kaubik_2024/1000</f>
        <v>0</v>
      </c>
      <c r="G49" s="438"/>
      <c r="H49" s="430">
        <f>G49*transport_kaubik_diisel_km_2024/1000</f>
        <v>0</v>
      </c>
      <c r="I49" s="441"/>
      <c r="J49" s="428">
        <f>I49*transport_kaubik_diisel_tonnkm_2024/1000</f>
        <v>0</v>
      </c>
      <c r="K49" s="432">
        <f t="shared" ref="K49:K51" si="2">SUM(F49+H49+J49)</f>
        <v>0</v>
      </c>
    </row>
    <row r="50" spans="2:11" ht="14.65" customHeight="1" x14ac:dyDescent="0.25">
      <c r="B50" s="85"/>
      <c r="C50" s="84" t="s">
        <v>151</v>
      </c>
      <c r="D50" s="229"/>
      <c r="E50" s="435"/>
      <c r="F50" s="428">
        <f>E50*kütus_taastuvelekter/1000</f>
        <v>0</v>
      </c>
      <c r="G50" s="438"/>
      <c r="H50" s="430">
        <f>G50*kütus_taastuvelekter/1000</f>
        <v>0</v>
      </c>
      <c r="I50" s="441"/>
      <c r="J50" s="428">
        <f>I50*kütus_taastuvelekter/1000</f>
        <v>0</v>
      </c>
      <c r="K50" s="432">
        <f t="shared" si="2"/>
        <v>0</v>
      </c>
    </row>
    <row r="51" spans="2:11" ht="14.65" customHeight="1" x14ac:dyDescent="0.25">
      <c r="B51" s="85"/>
      <c r="C51" s="84" t="s">
        <v>152</v>
      </c>
      <c r="D51" s="230"/>
      <c r="E51" s="435"/>
      <c r="F51" s="428">
        <f>E51*segajääk_2024/1000</f>
        <v>0</v>
      </c>
      <c r="G51" s="438"/>
      <c r="H51" s="430">
        <f>G51*transport_kaubik_tavaelekter_km_2024/1000</f>
        <v>0</v>
      </c>
      <c r="I51" s="441"/>
      <c r="J51" s="428">
        <f>I51*transport_kaubik_tavaelekter_tonnkm_2024/1000</f>
        <v>0</v>
      </c>
      <c r="K51" s="432">
        <f t="shared" si="2"/>
        <v>0</v>
      </c>
    </row>
    <row r="52" spans="2:11" ht="14.65" customHeight="1" x14ac:dyDescent="0.25">
      <c r="B52" s="85"/>
      <c r="C52" s="189" t="s">
        <v>153</v>
      </c>
      <c r="D52" s="552"/>
      <c r="E52" s="195"/>
      <c r="F52" s="196"/>
      <c r="G52" s="195"/>
      <c r="H52" s="197"/>
      <c r="I52" s="203"/>
      <c r="J52" s="204"/>
      <c r="K52" s="550"/>
    </row>
    <row r="53" spans="2:11" ht="14.65" customHeight="1" x14ac:dyDescent="0.25">
      <c r="B53" s="85"/>
      <c r="C53" s="71" t="s">
        <v>154</v>
      </c>
      <c r="D53" s="229"/>
      <c r="E53" s="436"/>
      <c r="F53" s="428">
        <f>E53*kütus_diisel_buss_2024/1000</f>
        <v>0</v>
      </c>
      <c r="G53" s="439"/>
      <c r="H53" s="430">
        <f>G53*transport_buss_2024/1000</f>
        <v>0</v>
      </c>
      <c r="I53" s="229"/>
      <c r="J53" s="236"/>
      <c r="K53" s="433">
        <f>SUM(F53+H53)</f>
        <v>0</v>
      </c>
    </row>
    <row r="54" spans="2:11" ht="14.65" customHeight="1" thickBot="1" x14ac:dyDescent="0.3">
      <c r="B54" s="87"/>
      <c r="C54" s="207" t="s">
        <v>155</v>
      </c>
      <c r="D54" s="230"/>
      <c r="E54" s="437"/>
      <c r="F54" s="429">
        <f>E54*kütus_diisel_kaubik_2024/1000</f>
        <v>0</v>
      </c>
      <c r="G54" s="440"/>
      <c r="H54" s="431">
        <f>IFERROR(G54*transport_väikebuss_2024/1000,0)</f>
        <v>0</v>
      </c>
      <c r="I54" s="230"/>
      <c r="J54" s="237"/>
      <c r="K54" s="434">
        <f>SUM(F54+H54)</f>
        <v>0</v>
      </c>
    </row>
    <row r="55" spans="2:11" ht="14.65" customHeight="1" thickBot="1" x14ac:dyDescent="0.3">
      <c r="B55" s="131"/>
      <c r="C55" s="225" t="s">
        <v>156</v>
      </c>
      <c r="D55" s="553"/>
      <c r="E55" s="226"/>
      <c r="F55" s="227"/>
      <c r="G55" s="227"/>
      <c r="H55" s="227"/>
      <c r="I55" s="227"/>
      <c r="J55" s="221"/>
      <c r="K55" s="554">
        <f>SUM(K48:K51,K53:K54,D55)</f>
        <v>0</v>
      </c>
    </row>
    <row r="56" spans="2:11" ht="14.65" customHeight="1" x14ac:dyDescent="0.25">
      <c r="C56" s="198"/>
      <c r="E56"/>
      <c r="F56"/>
      <c r="G56"/>
      <c r="H56"/>
      <c r="J56"/>
      <c r="K56" s="3"/>
    </row>
    <row r="57" spans="2:11" ht="14.65" customHeight="1" thickBot="1" x14ac:dyDescent="0.3">
      <c r="C57"/>
      <c r="E57"/>
      <c r="F57"/>
      <c r="G57"/>
      <c r="H57"/>
      <c r="J57"/>
    </row>
    <row r="58" spans="2:11" ht="14.85" customHeight="1" thickBot="1" x14ac:dyDescent="0.3">
      <c r="D58" s="323" t="s">
        <v>504</v>
      </c>
      <c r="E58" s="587" t="s">
        <v>505</v>
      </c>
      <c r="F58" s="588"/>
      <c r="G58" s="587" t="s">
        <v>506</v>
      </c>
      <c r="H58" s="588"/>
      <c r="I58" s="587" t="s">
        <v>507</v>
      </c>
      <c r="J58" s="588"/>
    </row>
    <row r="59" spans="2:11" ht="14.65" customHeight="1" x14ac:dyDescent="0.25">
      <c r="B59" s="603" t="s">
        <v>9</v>
      </c>
      <c r="C59" s="603" t="s">
        <v>10</v>
      </c>
      <c r="D59" s="664" t="s">
        <v>503</v>
      </c>
      <c r="E59" s="674" t="s">
        <v>87</v>
      </c>
      <c r="F59" s="667" t="s">
        <v>139</v>
      </c>
      <c r="G59" s="677" t="s">
        <v>101</v>
      </c>
      <c r="H59" s="667" t="s">
        <v>140</v>
      </c>
      <c r="I59" s="677" t="s">
        <v>101</v>
      </c>
      <c r="J59" s="667" t="s">
        <v>140</v>
      </c>
      <c r="K59" s="664" t="s">
        <v>141</v>
      </c>
    </row>
    <row r="60" spans="2:11" ht="14.65" customHeight="1" x14ac:dyDescent="0.25">
      <c r="B60" s="604"/>
      <c r="C60" s="604"/>
      <c r="D60" s="665"/>
      <c r="E60" s="675"/>
      <c r="F60" s="668"/>
      <c r="G60" s="678"/>
      <c r="H60" s="668"/>
      <c r="I60" s="678"/>
      <c r="J60" s="668"/>
      <c r="K60" s="665"/>
    </row>
    <row r="61" spans="2:11" ht="14.65" customHeight="1" x14ac:dyDescent="0.25">
      <c r="B61" s="604"/>
      <c r="C61" s="604"/>
      <c r="D61" s="666"/>
      <c r="E61" s="676"/>
      <c r="F61" s="669"/>
      <c r="G61" s="679"/>
      <c r="H61" s="669"/>
      <c r="I61" s="679"/>
      <c r="J61" s="669"/>
      <c r="K61" s="666"/>
    </row>
    <row r="62" spans="2:11" ht="14.65" customHeight="1" thickBot="1" x14ac:dyDescent="0.3">
      <c r="B62" s="604"/>
      <c r="C62" s="604"/>
      <c r="D62" s="206" t="s">
        <v>502</v>
      </c>
      <c r="E62" s="209" t="s">
        <v>142</v>
      </c>
      <c r="F62" s="210" t="s">
        <v>143</v>
      </c>
      <c r="G62" s="211" t="s">
        <v>105</v>
      </c>
      <c r="H62" s="210" t="s">
        <v>144</v>
      </c>
      <c r="I62" s="209" t="s">
        <v>145</v>
      </c>
      <c r="J62" s="212" t="s">
        <v>146</v>
      </c>
      <c r="K62" s="206" t="s">
        <v>147</v>
      </c>
    </row>
    <row r="63" spans="2:11" ht="14.65" customHeight="1" x14ac:dyDescent="0.25">
      <c r="B63" s="128">
        <f>ÜLDANDMED!F10</f>
        <v>2025</v>
      </c>
      <c r="C63" s="153" t="s">
        <v>148</v>
      </c>
      <c r="D63" s="551"/>
      <c r="E63" s="187"/>
      <c r="F63" s="238"/>
      <c r="G63" s="185"/>
      <c r="H63" s="188"/>
      <c r="I63" s="239"/>
      <c r="J63" s="238"/>
      <c r="K63" s="233"/>
    </row>
    <row r="64" spans="2:11" ht="14.65" customHeight="1" x14ac:dyDescent="0.25">
      <c r="B64" s="77"/>
      <c r="C64" s="71" t="s">
        <v>149</v>
      </c>
      <c r="D64" s="229"/>
      <c r="E64" s="435"/>
      <c r="F64" s="428">
        <f>E64*kütus_bensiin_kaubik_2025/1000</f>
        <v>0</v>
      </c>
      <c r="G64" s="438"/>
      <c r="H64" s="430">
        <f>G64*transport_kaubik_bensiin_km_2025/1000</f>
        <v>0</v>
      </c>
      <c r="I64" s="441"/>
      <c r="J64" s="428">
        <f>I64*transport_kaubik_bensiin_tonnkm_2025/1000</f>
        <v>0</v>
      </c>
      <c r="K64" s="432">
        <f>SUM(F64+H64+J64)</f>
        <v>0</v>
      </c>
    </row>
    <row r="65" spans="2:11" ht="14.65" customHeight="1" x14ac:dyDescent="0.25">
      <c r="B65" s="77"/>
      <c r="C65" s="71" t="s">
        <v>150</v>
      </c>
      <c r="D65" s="230"/>
      <c r="E65" s="435"/>
      <c r="F65" s="428">
        <f>E65*kütus_diisel_kaubik_2025/1000</f>
        <v>0</v>
      </c>
      <c r="G65" s="438"/>
      <c r="H65" s="430">
        <f>G65*transport_kaubik_diisel_km_2025/1000</f>
        <v>0</v>
      </c>
      <c r="I65" s="441"/>
      <c r="J65" s="428">
        <f>I65*transport_kaubik_diisel_tonnkm_2025/1000</f>
        <v>0</v>
      </c>
      <c r="K65" s="432">
        <f t="shared" ref="K65:K67" si="3">SUM(F65+H65+J65)</f>
        <v>0</v>
      </c>
    </row>
    <row r="66" spans="2:11" ht="14.65" customHeight="1" x14ac:dyDescent="0.25">
      <c r="B66" s="77"/>
      <c r="C66" s="84" t="s">
        <v>151</v>
      </c>
      <c r="D66" s="229"/>
      <c r="E66" s="435"/>
      <c r="F66" s="428">
        <f>E66*kütus_taastuvelekter/1000</f>
        <v>0</v>
      </c>
      <c r="G66" s="438"/>
      <c r="H66" s="430">
        <f>G66*kütus_taastuvelekter/1000</f>
        <v>0</v>
      </c>
      <c r="I66" s="441"/>
      <c r="J66" s="428">
        <f>I66*kütus_taastuvelekter/1000</f>
        <v>0</v>
      </c>
      <c r="K66" s="432">
        <f t="shared" si="3"/>
        <v>0</v>
      </c>
    </row>
    <row r="67" spans="2:11" ht="14.65" customHeight="1" x14ac:dyDescent="0.25">
      <c r="B67" s="77"/>
      <c r="C67" s="84" t="s">
        <v>152</v>
      </c>
      <c r="D67" s="230"/>
      <c r="E67" s="435"/>
      <c r="F67" s="428">
        <f>E67*segajääk_2025/1000</f>
        <v>0</v>
      </c>
      <c r="G67" s="438"/>
      <c r="H67" s="430">
        <f>G67*transport_kaubik_tavaelekter_km_2025/1000</f>
        <v>0</v>
      </c>
      <c r="I67" s="441"/>
      <c r="J67" s="428">
        <f>I67*transport_kaubik_tavaelekter_tonnkm_2025/1000</f>
        <v>0</v>
      </c>
      <c r="K67" s="432">
        <f t="shared" si="3"/>
        <v>0</v>
      </c>
    </row>
    <row r="68" spans="2:11" ht="14.65" customHeight="1" x14ac:dyDescent="0.25">
      <c r="B68" s="77"/>
      <c r="C68" s="189" t="s">
        <v>153</v>
      </c>
      <c r="D68" s="552"/>
      <c r="E68" s="195"/>
      <c r="F68" s="196"/>
      <c r="G68" s="195"/>
      <c r="H68" s="197"/>
      <c r="I68" s="203"/>
      <c r="J68" s="204"/>
      <c r="K68" s="550"/>
    </row>
    <row r="69" spans="2:11" ht="14.65" customHeight="1" x14ac:dyDescent="0.25">
      <c r="B69" s="77"/>
      <c r="C69" s="71" t="s">
        <v>154</v>
      </c>
      <c r="D69" s="229"/>
      <c r="E69" s="436"/>
      <c r="F69" s="428">
        <f>E69*kütus_diisel_buss_2025/1000</f>
        <v>0</v>
      </c>
      <c r="G69" s="439"/>
      <c r="H69" s="430">
        <f>G69*transport_buss_2025/1000</f>
        <v>0</v>
      </c>
      <c r="I69" s="229"/>
      <c r="J69" s="236"/>
      <c r="K69" s="433">
        <f>SUM(F69+H69)</f>
        <v>0</v>
      </c>
    </row>
    <row r="70" spans="2:11" ht="14.65" customHeight="1" thickBot="1" x14ac:dyDescent="0.3">
      <c r="B70" s="87"/>
      <c r="C70" s="207" t="s">
        <v>155</v>
      </c>
      <c r="D70" s="230"/>
      <c r="E70" s="437"/>
      <c r="F70" s="429">
        <f>E70*kütus_diisel_kaubik_2025/1000</f>
        <v>0</v>
      </c>
      <c r="G70" s="440"/>
      <c r="H70" s="431">
        <f>IFERROR(G70*transport_väikebuss_2025/1000,0)</f>
        <v>0</v>
      </c>
      <c r="I70" s="230"/>
      <c r="J70" s="237"/>
      <c r="K70" s="434">
        <f>SUM(F70+H70)</f>
        <v>0</v>
      </c>
    </row>
    <row r="71" spans="2:11" ht="14.65" customHeight="1" thickBot="1" x14ac:dyDescent="0.3">
      <c r="B71" s="131"/>
      <c r="C71" s="225" t="s">
        <v>156</v>
      </c>
      <c r="D71" s="553"/>
      <c r="E71" s="226"/>
      <c r="F71" s="227"/>
      <c r="G71" s="227"/>
      <c r="H71" s="227"/>
      <c r="I71" s="227"/>
      <c r="J71" s="221"/>
      <c r="K71" s="554">
        <f>SUM(K64:K67,K69:K70,D71)</f>
        <v>0</v>
      </c>
    </row>
    <row r="72" spans="2:11" ht="14.65" customHeight="1" x14ac:dyDescent="0.25">
      <c r="C72" s="198"/>
      <c r="E72"/>
      <c r="F72"/>
      <c r="G72"/>
      <c r="H72"/>
      <c r="J72"/>
      <c r="K72" s="3"/>
    </row>
    <row r="73" spans="2:11" ht="14.65" customHeight="1" thickBot="1" x14ac:dyDescent="0.3">
      <c r="C73"/>
      <c r="E73"/>
      <c r="F73"/>
      <c r="G73"/>
      <c r="H73"/>
      <c r="J73"/>
    </row>
    <row r="74" spans="2:11" ht="14.85" customHeight="1" thickBot="1" x14ac:dyDescent="0.3">
      <c r="D74" s="323" t="s">
        <v>504</v>
      </c>
      <c r="E74" s="587" t="s">
        <v>505</v>
      </c>
      <c r="F74" s="588"/>
      <c r="G74" s="587" t="s">
        <v>506</v>
      </c>
      <c r="H74" s="588"/>
      <c r="I74" s="587" t="s">
        <v>507</v>
      </c>
      <c r="J74" s="588"/>
    </row>
    <row r="75" spans="2:11" ht="14.65" customHeight="1" x14ac:dyDescent="0.25">
      <c r="B75" s="603" t="s">
        <v>9</v>
      </c>
      <c r="C75" s="603" t="s">
        <v>10</v>
      </c>
      <c r="D75" s="664" t="s">
        <v>503</v>
      </c>
      <c r="E75" s="674" t="s">
        <v>87</v>
      </c>
      <c r="F75" s="667" t="s">
        <v>139</v>
      </c>
      <c r="G75" s="677" t="s">
        <v>101</v>
      </c>
      <c r="H75" s="667" t="s">
        <v>140</v>
      </c>
      <c r="I75" s="677" t="s">
        <v>101</v>
      </c>
      <c r="J75" s="667" t="s">
        <v>140</v>
      </c>
      <c r="K75" s="664" t="s">
        <v>141</v>
      </c>
    </row>
    <row r="76" spans="2:11" ht="14.65" customHeight="1" x14ac:dyDescent="0.25">
      <c r="B76" s="604"/>
      <c r="C76" s="604"/>
      <c r="D76" s="665"/>
      <c r="E76" s="675"/>
      <c r="F76" s="668"/>
      <c r="G76" s="678"/>
      <c r="H76" s="668"/>
      <c r="I76" s="678"/>
      <c r="J76" s="668"/>
      <c r="K76" s="665"/>
    </row>
    <row r="77" spans="2:11" ht="14.65" customHeight="1" x14ac:dyDescent="0.25">
      <c r="B77" s="604"/>
      <c r="C77" s="604"/>
      <c r="D77" s="666"/>
      <c r="E77" s="676"/>
      <c r="F77" s="669"/>
      <c r="G77" s="679"/>
      <c r="H77" s="669"/>
      <c r="I77" s="679"/>
      <c r="J77" s="669"/>
      <c r="K77" s="666"/>
    </row>
    <row r="78" spans="2:11" ht="14.65" customHeight="1" thickBot="1" x14ac:dyDescent="0.3">
      <c r="B78" s="604"/>
      <c r="C78" s="604"/>
      <c r="D78" s="206" t="s">
        <v>502</v>
      </c>
      <c r="E78" s="209" t="s">
        <v>142</v>
      </c>
      <c r="F78" s="210" t="s">
        <v>143</v>
      </c>
      <c r="G78" s="211" t="s">
        <v>105</v>
      </c>
      <c r="H78" s="210" t="s">
        <v>144</v>
      </c>
      <c r="I78" s="209" t="s">
        <v>145</v>
      </c>
      <c r="J78" s="212" t="s">
        <v>146</v>
      </c>
      <c r="K78" s="206" t="s">
        <v>147</v>
      </c>
    </row>
    <row r="79" spans="2:11" ht="14.65" customHeight="1" x14ac:dyDescent="0.25">
      <c r="B79" s="184">
        <f>ÜLDANDMED!G10</f>
        <v>2026</v>
      </c>
      <c r="C79" s="153" t="s">
        <v>148</v>
      </c>
      <c r="D79" s="551"/>
      <c r="E79" s="187"/>
      <c r="F79" s="238"/>
      <c r="G79" s="185"/>
      <c r="H79" s="188"/>
      <c r="I79" s="239"/>
      <c r="J79" s="238"/>
      <c r="K79" s="233"/>
    </row>
    <row r="80" spans="2:11" ht="14.65" customHeight="1" x14ac:dyDescent="0.25">
      <c r="B80" s="85"/>
      <c r="C80" s="71" t="s">
        <v>149</v>
      </c>
      <c r="D80" s="229"/>
      <c r="E80" s="435"/>
      <c r="F80" s="428">
        <f>E80*kütus_bensiin_kaubik_2026/1000</f>
        <v>0</v>
      </c>
      <c r="G80" s="438"/>
      <c r="H80" s="430">
        <f>G80*transport_kaubik_bensiin_km_2026/1000</f>
        <v>0</v>
      </c>
      <c r="I80" s="441"/>
      <c r="J80" s="428">
        <f>I80*transport_kaubik_bensiin_tonnkm_2026/1000</f>
        <v>0</v>
      </c>
      <c r="K80" s="432">
        <f>SUM(F80+H80+J80)</f>
        <v>0</v>
      </c>
    </row>
    <row r="81" spans="2:11" ht="14.65" customHeight="1" x14ac:dyDescent="0.25">
      <c r="B81" s="85"/>
      <c r="C81" s="71" t="s">
        <v>150</v>
      </c>
      <c r="D81" s="230"/>
      <c r="E81" s="435"/>
      <c r="F81" s="428">
        <f>E81*kütus_diisel_kaubik_2026/1000</f>
        <v>0</v>
      </c>
      <c r="G81" s="438"/>
      <c r="H81" s="430">
        <f>G81*transport_kaubik_diisel_km_2026/1000</f>
        <v>0</v>
      </c>
      <c r="I81" s="441"/>
      <c r="J81" s="428">
        <f>I81*transport_kaubik_diisel_tonnkm_2026/1000</f>
        <v>0</v>
      </c>
      <c r="K81" s="432">
        <f t="shared" ref="K81:K83" si="4">SUM(F81+H81+J81)</f>
        <v>0</v>
      </c>
    </row>
    <row r="82" spans="2:11" ht="14.65" customHeight="1" x14ac:dyDescent="0.25">
      <c r="B82" s="85"/>
      <c r="C82" s="84" t="s">
        <v>151</v>
      </c>
      <c r="D82" s="229"/>
      <c r="E82" s="435"/>
      <c r="F82" s="428">
        <f>E82*kütus_taastuvelekter/1000</f>
        <v>0</v>
      </c>
      <c r="G82" s="438"/>
      <c r="H82" s="430">
        <f>G82*kütus_taastuvelekter/1000</f>
        <v>0</v>
      </c>
      <c r="I82" s="441"/>
      <c r="J82" s="428">
        <f>I82*kütus_taastuvelekter/1000</f>
        <v>0</v>
      </c>
      <c r="K82" s="432">
        <f t="shared" si="4"/>
        <v>0</v>
      </c>
    </row>
    <row r="83" spans="2:11" ht="14.65" customHeight="1" x14ac:dyDescent="0.25">
      <c r="B83" s="85"/>
      <c r="C83" s="84" t="s">
        <v>152</v>
      </c>
      <c r="D83" s="230"/>
      <c r="E83" s="435"/>
      <c r="F83" s="428">
        <f>E83*segajääk_2026/1000</f>
        <v>0</v>
      </c>
      <c r="G83" s="438"/>
      <c r="H83" s="430">
        <f>G83*transport_kaubik_tavaelekter_km_2026/1000</f>
        <v>0</v>
      </c>
      <c r="I83" s="441"/>
      <c r="J83" s="428">
        <f>I83*transport_kaubik_tavaelekter_tonnkm_2026/1000</f>
        <v>0</v>
      </c>
      <c r="K83" s="432">
        <f t="shared" si="4"/>
        <v>0</v>
      </c>
    </row>
    <row r="84" spans="2:11" ht="14.65" customHeight="1" x14ac:dyDescent="0.25">
      <c r="B84" s="85"/>
      <c r="C84" s="189" t="s">
        <v>153</v>
      </c>
      <c r="D84" s="552"/>
      <c r="E84" s="195"/>
      <c r="F84" s="196"/>
      <c r="G84" s="195"/>
      <c r="H84" s="197"/>
      <c r="I84" s="203"/>
      <c r="J84" s="204"/>
      <c r="K84" s="550"/>
    </row>
    <row r="85" spans="2:11" ht="14.65" customHeight="1" x14ac:dyDescent="0.25">
      <c r="B85" s="85"/>
      <c r="C85" s="71" t="s">
        <v>154</v>
      </c>
      <c r="D85" s="229"/>
      <c r="E85" s="436"/>
      <c r="F85" s="428">
        <f>E85*kütus_diisel_buss_2026/1000</f>
        <v>0</v>
      </c>
      <c r="G85" s="439"/>
      <c r="H85" s="430">
        <f>G85*transport_buss_2026/1000</f>
        <v>0</v>
      </c>
      <c r="I85" s="229"/>
      <c r="J85" s="236"/>
      <c r="K85" s="433">
        <f>SUM(F85+H85)</f>
        <v>0</v>
      </c>
    </row>
    <row r="86" spans="2:11" ht="14.65" customHeight="1" thickBot="1" x14ac:dyDescent="0.3">
      <c r="B86" s="87"/>
      <c r="C86" s="207" t="s">
        <v>155</v>
      </c>
      <c r="D86" s="230"/>
      <c r="E86" s="437"/>
      <c r="F86" s="429">
        <f>E86*kütus_diisel_kaubik_2026/1000</f>
        <v>0</v>
      </c>
      <c r="G86" s="440"/>
      <c r="H86" s="431">
        <f>IFERROR(G86*transport_väikebuss_2026/1000,0)</f>
        <v>0</v>
      </c>
      <c r="I86" s="230"/>
      <c r="J86" s="237"/>
      <c r="K86" s="434">
        <f>SUM(F86+H86)</f>
        <v>0</v>
      </c>
    </row>
    <row r="87" spans="2:11" ht="14.65" customHeight="1" thickBot="1" x14ac:dyDescent="0.3">
      <c r="B87" s="131"/>
      <c r="C87" s="225" t="s">
        <v>156</v>
      </c>
      <c r="D87" s="553"/>
      <c r="E87" s="226"/>
      <c r="F87" s="227"/>
      <c r="G87" s="227"/>
      <c r="H87" s="227"/>
      <c r="I87" s="227"/>
      <c r="J87" s="221"/>
      <c r="K87" s="554">
        <f>SUM(K80:K83,K85:K86,D87)</f>
        <v>0</v>
      </c>
    </row>
    <row r="88" spans="2:11" ht="14.65" customHeight="1" x14ac:dyDescent="0.25">
      <c r="C88"/>
      <c r="E88"/>
      <c r="F88"/>
      <c r="G88"/>
      <c r="H88"/>
      <c r="J88"/>
    </row>
    <row r="89" spans="2:11" ht="14.65" customHeight="1" thickBot="1" x14ac:dyDescent="0.3">
      <c r="C89"/>
      <c r="E89"/>
      <c r="F89"/>
      <c r="G89"/>
      <c r="H89"/>
      <c r="J89"/>
    </row>
    <row r="90" spans="2:11" ht="14.85" customHeight="1" thickBot="1" x14ac:dyDescent="0.3">
      <c r="D90" s="323" t="s">
        <v>504</v>
      </c>
      <c r="E90" s="587" t="s">
        <v>505</v>
      </c>
      <c r="F90" s="588"/>
      <c r="G90" s="587" t="s">
        <v>506</v>
      </c>
      <c r="H90" s="588"/>
      <c r="I90" s="587" t="s">
        <v>507</v>
      </c>
      <c r="J90" s="588"/>
    </row>
    <row r="91" spans="2:11" ht="14.65" customHeight="1" x14ac:dyDescent="0.25">
      <c r="B91" s="603" t="s">
        <v>9</v>
      </c>
      <c r="C91" s="603" t="s">
        <v>10</v>
      </c>
      <c r="D91" s="664" t="s">
        <v>503</v>
      </c>
      <c r="E91" s="674" t="s">
        <v>87</v>
      </c>
      <c r="F91" s="667" t="s">
        <v>139</v>
      </c>
      <c r="G91" s="677" t="s">
        <v>101</v>
      </c>
      <c r="H91" s="667" t="s">
        <v>140</v>
      </c>
      <c r="I91" s="677" t="s">
        <v>101</v>
      </c>
      <c r="J91" s="667" t="s">
        <v>140</v>
      </c>
      <c r="K91" s="664" t="s">
        <v>141</v>
      </c>
    </row>
    <row r="92" spans="2:11" ht="14.65" customHeight="1" x14ac:dyDescent="0.25">
      <c r="B92" s="604"/>
      <c r="C92" s="604"/>
      <c r="D92" s="665"/>
      <c r="E92" s="675"/>
      <c r="F92" s="668"/>
      <c r="G92" s="678"/>
      <c r="H92" s="668"/>
      <c r="I92" s="678"/>
      <c r="J92" s="668"/>
      <c r="K92" s="665"/>
    </row>
    <row r="93" spans="2:11" ht="14.65" customHeight="1" x14ac:dyDescent="0.25">
      <c r="B93" s="604"/>
      <c r="C93" s="604"/>
      <c r="D93" s="666"/>
      <c r="E93" s="676"/>
      <c r="F93" s="669"/>
      <c r="G93" s="679"/>
      <c r="H93" s="669"/>
      <c r="I93" s="679"/>
      <c r="J93" s="669"/>
      <c r="K93" s="666"/>
    </row>
    <row r="94" spans="2:11" ht="14.65" customHeight="1" thickBot="1" x14ac:dyDescent="0.3">
      <c r="B94" s="604"/>
      <c r="C94" s="604"/>
      <c r="D94" s="206" t="s">
        <v>502</v>
      </c>
      <c r="E94" s="209" t="s">
        <v>142</v>
      </c>
      <c r="F94" s="210" t="s">
        <v>143</v>
      </c>
      <c r="G94" s="211" t="s">
        <v>105</v>
      </c>
      <c r="H94" s="210" t="s">
        <v>144</v>
      </c>
      <c r="I94" s="209" t="s">
        <v>145</v>
      </c>
      <c r="J94" s="212" t="s">
        <v>146</v>
      </c>
      <c r="K94" s="206" t="s">
        <v>147</v>
      </c>
    </row>
    <row r="95" spans="2:11" ht="14.65" customHeight="1" x14ac:dyDescent="0.25">
      <c r="B95" s="128">
        <f>ÜLDANDMED!H10</f>
        <v>2027</v>
      </c>
      <c r="C95" s="153" t="s">
        <v>148</v>
      </c>
      <c r="D95" s="551"/>
      <c r="E95" s="187"/>
      <c r="F95" s="238"/>
      <c r="G95" s="185"/>
      <c r="H95" s="188"/>
      <c r="I95" s="239"/>
      <c r="J95" s="238"/>
      <c r="K95" s="233"/>
    </row>
    <row r="96" spans="2:11" ht="14.65" customHeight="1" x14ac:dyDescent="0.25">
      <c r="B96" s="77"/>
      <c r="C96" s="71" t="s">
        <v>149</v>
      </c>
      <c r="D96" s="229"/>
      <c r="E96" s="435"/>
      <c r="F96" s="428">
        <f>E96*kütus_bensiin_kaubik_2027/1000</f>
        <v>0</v>
      </c>
      <c r="G96" s="438"/>
      <c r="H96" s="430">
        <f>G96*transport_kaubik_bensiin_km_2027/1000</f>
        <v>0</v>
      </c>
      <c r="I96" s="441"/>
      <c r="J96" s="428">
        <f>I96*transport_kaubik_bensiin_tonnkm_2027/1000</f>
        <v>0</v>
      </c>
      <c r="K96" s="432">
        <f>SUM(F96+H96+J96)</f>
        <v>0</v>
      </c>
    </row>
    <row r="97" spans="2:11" ht="14.65" customHeight="1" x14ac:dyDescent="0.25">
      <c r="B97" s="77"/>
      <c r="C97" s="71" t="s">
        <v>150</v>
      </c>
      <c r="D97" s="230"/>
      <c r="E97" s="435"/>
      <c r="F97" s="428">
        <f>E97*kütus_diisel_kaubik_2027/1000</f>
        <v>0</v>
      </c>
      <c r="G97" s="438"/>
      <c r="H97" s="430">
        <f>G97*transport_kaubik_diisel_km_2027/1000</f>
        <v>0</v>
      </c>
      <c r="I97" s="441"/>
      <c r="J97" s="428">
        <f>I97*transport_kaubik_diisel_tonnkm_2027/1000</f>
        <v>0</v>
      </c>
      <c r="K97" s="432">
        <f t="shared" ref="K97:K99" si="5">SUM(F97+H97+J97)</f>
        <v>0</v>
      </c>
    </row>
    <row r="98" spans="2:11" ht="14.65" customHeight="1" x14ac:dyDescent="0.25">
      <c r="B98" s="77"/>
      <c r="C98" s="84" t="s">
        <v>151</v>
      </c>
      <c r="D98" s="229"/>
      <c r="E98" s="435"/>
      <c r="F98" s="428">
        <f>E98*kütus_taastuvelekter/1000</f>
        <v>0</v>
      </c>
      <c r="G98" s="438"/>
      <c r="H98" s="430">
        <f>G98*kütus_taastuvelekter/1000</f>
        <v>0</v>
      </c>
      <c r="I98" s="441"/>
      <c r="J98" s="428">
        <f>I98*kütus_taastuvelekter/1000</f>
        <v>0</v>
      </c>
      <c r="K98" s="432">
        <f t="shared" si="5"/>
        <v>0</v>
      </c>
    </row>
    <row r="99" spans="2:11" ht="14.65" customHeight="1" x14ac:dyDescent="0.25">
      <c r="B99" s="77"/>
      <c r="C99" s="84" t="s">
        <v>152</v>
      </c>
      <c r="D99" s="230"/>
      <c r="E99" s="435"/>
      <c r="F99" s="428">
        <f>E99*segajääk_2027/1000</f>
        <v>0</v>
      </c>
      <c r="G99" s="438"/>
      <c r="H99" s="430">
        <f>G99*transport_kaubik_tavaelekter_km_2027/1000</f>
        <v>0</v>
      </c>
      <c r="I99" s="441"/>
      <c r="J99" s="428">
        <f>I99*transport_kaubik_tavaelekter_tonnkm_2027/1000</f>
        <v>0</v>
      </c>
      <c r="K99" s="432">
        <f t="shared" si="5"/>
        <v>0</v>
      </c>
    </row>
    <row r="100" spans="2:11" ht="14.65" customHeight="1" x14ac:dyDescent="0.25">
      <c r="B100" s="77"/>
      <c r="C100" s="189" t="s">
        <v>153</v>
      </c>
      <c r="D100" s="552"/>
      <c r="E100" s="195"/>
      <c r="F100" s="196"/>
      <c r="G100" s="195"/>
      <c r="H100" s="197"/>
      <c r="I100" s="203"/>
      <c r="J100" s="204"/>
      <c r="K100" s="550"/>
    </row>
    <row r="101" spans="2:11" ht="14.65" customHeight="1" x14ac:dyDescent="0.25">
      <c r="B101" s="77"/>
      <c r="C101" s="71" t="s">
        <v>154</v>
      </c>
      <c r="D101" s="229"/>
      <c r="E101" s="436"/>
      <c r="F101" s="428">
        <f>E101*kütus_diisel_buss_2027/1000</f>
        <v>0</v>
      </c>
      <c r="G101" s="439"/>
      <c r="H101" s="430">
        <f>G101*transport_buss_2027/1000</f>
        <v>0</v>
      </c>
      <c r="I101" s="229"/>
      <c r="J101" s="236"/>
      <c r="K101" s="433">
        <f>SUM(F101+H101)</f>
        <v>0</v>
      </c>
    </row>
    <row r="102" spans="2:11" ht="14.65" customHeight="1" thickBot="1" x14ac:dyDescent="0.3">
      <c r="B102" s="87"/>
      <c r="C102" s="207" t="s">
        <v>155</v>
      </c>
      <c r="D102" s="230"/>
      <c r="E102" s="437"/>
      <c r="F102" s="429">
        <f>E102*kütus_diisel_kaubik_2027/1000</f>
        <v>0</v>
      </c>
      <c r="G102" s="440"/>
      <c r="H102" s="431">
        <f>IFERROR(G102*transport_väikebuss_2027/1000,0)</f>
        <v>0</v>
      </c>
      <c r="I102" s="230"/>
      <c r="J102" s="237"/>
      <c r="K102" s="434">
        <f>SUM(F102+H102)</f>
        <v>0</v>
      </c>
    </row>
    <row r="103" spans="2:11" ht="14.65" customHeight="1" thickBot="1" x14ac:dyDescent="0.3">
      <c r="B103" s="131"/>
      <c r="C103" s="225" t="s">
        <v>156</v>
      </c>
      <c r="D103" s="553"/>
      <c r="E103" s="226"/>
      <c r="F103" s="227"/>
      <c r="G103" s="227"/>
      <c r="H103" s="227"/>
      <c r="I103" s="227"/>
      <c r="J103" s="221"/>
      <c r="K103" s="554">
        <f>SUM(K96:K99,K101:K102,D103)</f>
        <v>0</v>
      </c>
    </row>
    <row r="104" spans="2:11" ht="14.65" customHeight="1" x14ac:dyDescent="0.25">
      <c r="C104"/>
      <c r="E104"/>
      <c r="F104"/>
      <c r="G104"/>
      <c r="H104"/>
      <c r="J104"/>
    </row>
    <row r="105" spans="2:11" ht="14.65" customHeight="1" thickBot="1" x14ac:dyDescent="0.3">
      <c r="C105"/>
      <c r="E105"/>
      <c r="F105"/>
      <c r="G105"/>
      <c r="H105"/>
      <c r="J105"/>
    </row>
    <row r="106" spans="2:11" ht="14.85" customHeight="1" thickBot="1" x14ac:dyDescent="0.3">
      <c r="D106" s="323" t="s">
        <v>504</v>
      </c>
      <c r="E106" s="587" t="s">
        <v>505</v>
      </c>
      <c r="F106" s="588"/>
      <c r="G106" s="587" t="s">
        <v>506</v>
      </c>
      <c r="H106" s="588"/>
      <c r="I106" s="587" t="s">
        <v>507</v>
      </c>
      <c r="J106" s="588"/>
    </row>
    <row r="107" spans="2:11" ht="14.65" customHeight="1" x14ac:dyDescent="0.25">
      <c r="B107" s="603" t="s">
        <v>9</v>
      </c>
      <c r="C107" s="603" t="s">
        <v>10</v>
      </c>
      <c r="D107" s="664" t="s">
        <v>503</v>
      </c>
      <c r="E107" s="674" t="s">
        <v>87</v>
      </c>
      <c r="F107" s="667" t="s">
        <v>139</v>
      </c>
      <c r="G107" s="677" t="s">
        <v>101</v>
      </c>
      <c r="H107" s="667" t="s">
        <v>140</v>
      </c>
      <c r="I107" s="677" t="s">
        <v>101</v>
      </c>
      <c r="J107" s="667" t="s">
        <v>140</v>
      </c>
      <c r="K107" s="664" t="s">
        <v>141</v>
      </c>
    </row>
    <row r="108" spans="2:11" ht="14.65" customHeight="1" x14ac:dyDescent="0.25">
      <c r="B108" s="604"/>
      <c r="C108" s="604"/>
      <c r="D108" s="665"/>
      <c r="E108" s="675"/>
      <c r="F108" s="668"/>
      <c r="G108" s="678"/>
      <c r="H108" s="668"/>
      <c r="I108" s="678"/>
      <c r="J108" s="668"/>
      <c r="K108" s="665"/>
    </row>
    <row r="109" spans="2:11" ht="14.65" customHeight="1" x14ac:dyDescent="0.25">
      <c r="B109" s="604"/>
      <c r="C109" s="604"/>
      <c r="D109" s="666"/>
      <c r="E109" s="676"/>
      <c r="F109" s="669"/>
      <c r="G109" s="679"/>
      <c r="H109" s="669"/>
      <c r="I109" s="679"/>
      <c r="J109" s="669"/>
      <c r="K109" s="666"/>
    </row>
    <row r="110" spans="2:11" ht="14.65" customHeight="1" thickBot="1" x14ac:dyDescent="0.3">
      <c r="B110" s="604"/>
      <c r="C110" s="604"/>
      <c r="D110" s="206" t="s">
        <v>502</v>
      </c>
      <c r="E110" s="209" t="s">
        <v>142</v>
      </c>
      <c r="F110" s="210" t="s">
        <v>143</v>
      </c>
      <c r="G110" s="211" t="s">
        <v>105</v>
      </c>
      <c r="H110" s="210" t="s">
        <v>144</v>
      </c>
      <c r="I110" s="209" t="s">
        <v>145</v>
      </c>
      <c r="J110" s="212" t="s">
        <v>146</v>
      </c>
      <c r="K110" s="206" t="s">
        <v>147</v>
      </c>
    </row>
    <row r="111" spans="2:11" ht="14.65" customHeight="1" x14ac:dyDescent="0.25">
      <c r="B111" s="184">
        <f>ÜLDANDMED!I10</f>
        <v>2028</v>
      </c>
      <c r="C111" s="153" t="s">
        <v>148</v>
      </c>
      <c r="D111" s="551"/>
      <c r="E111" s="187"/>
      <c r="F111" s="238"/>
      <c r="G111" s="185"/>
      <c r="H111" s="188"/>
      <c r="I111" s="239"/>
      <c r="J111" s="238"/>
      <c r="K111" s="233"/>
    </row>
    <row r="112" spans="2:11" ht="14.65" customHeight="1" x14ac:dyDescent="0.25">
      <c r="B112" s="85"/>
      <c r="C112" s="71" t="s">
        <v>149</v>
      </c>
      <c r="D112" s="229"/>
      <c r="E112" s="435"/>
      <c r="F112" s="428">
        <f>E112*kütus_bensiin_kaubik_2028/1000</f>
        <v>0</v>
      </c>
      <c r="G112" s="438"/>
      <c r="H112" s="430">
        <f>G112*transport_kaubik_bensiin_km_2028/1000</f>
        <v>0</v>
      </c>
      <c r="I112" s="441"/>
      <c r="J112" s="428">
        <f>I112*transport_kaubik_bensiin_tonnkm_2028/1000</f>
        <v>0</v>
      </c>
      <c r="K112" s="432">
        <f>SUM(F112+H112+J112)</f>
        <v>0</v>
      </c>
    </row>
    <row r="113" spans="2:11" ht="14.65" customHeight="1" x14ac:dyDescent="0.25">
      <c r="B113" s="85"/>
      <c r="C113" s="71" t="s">
        <v>150</v>
      </c>
      <c r="D113" s="230"/>
      <c r="E113" s="435"/>
      <c r="F113" s="428">
        <f>E113*kütus_diisel_kaubik_2028/1000</f>
        <v>0</v>
      </c>
      <c r="G113" s="438"/>
      <c r="H113" s="430">
        <f>G113*transport_kaubik_diisel_km_2028/1000</f>
        <v>0</v>
      </c>
      <c r="I113" s="441"/>
      <c r="J113" s="428">
        <f>I113*transport_kaubik_diisel_tonnkm_2028/1000</f>
        <v>0</v>
      </c>
      <c r="K113" s="432">
        <f t="shared" ref="K113:K115" si="6">SUM(F113+H113+J113)</f>
        <v>0</v>
      </c>
    </row>
    <row r="114" spans="2:11" ht="14.65" customHeight="1" x14ac:dyDescent="0.25">
      <c r="B114" s="85"/>
      <c r="C114" s="84" t="s">
        <v>151</v>
      </c>
      <c r="D114" s="229"/>
      <c r="E114" s="435"/>
      <c r="F114" s="428">
        <f>E114*kütus_taastuvelekter/1000</f>
        <v>0</v>
      </c>
      <c r="G114" s="438"/>
      <c r="H114" s="430">
        <f>G114*kütus_taastuvelekter/1000</f>
        <v>0</v>
      </c>
      <c r="I114" s="441"/>
      <c r="J114" s="428">
        <f>I114*kütus_taastuvelekter/1000</f>
        <v>0</v>
      </c>
      <c r="K114" s="432">
        <f t="shared" si="6"/>
        <v>0</v>
      </c>
    </row>
    <row r="115" spans="2:11" ht="14.65" customHeight="1" x14ac:dyDescent="0.25">
      <c r="B115" s="85"/>
      <c r="C115" s="84" t="s">
        <v>152</v>
      </c>
      <c r="D115" s="230"/>
      <c r="E115" s="435"/>
      <c r="F115" s="428">
        <f>E115*segajääk_2028/1000</f>
        <v>0</v>
      </c>
      <c r="G115" s="438"/>
      <c r="H115" s="430">
        <f>G115*transport_kaubik_tavaelekter_km_2028/1000</f>
        <v>0</v>
      </c>
      <c r="I115" s="441"/>
      <c r="J115" s="428">
        <f>I115*transport_kaubik_tavaelekter_tonnkm_2028/1000</f>
        <v>0</v>
      </c>
      <c r="K115" s="432">
        <f t="shared" si="6"/>
        <v>0</v>
      </c>
    </row>
    <row r="116" spans="2:11" ht="14.65" customHeight="1" x14ac:dyDescent="0.25">
      <c r="B116" s="85"/>
      <c r="C116" s="189" t="s">
        <v>153</v>
      </c>
      <c r="D116" s="552"/>
      <c r="E116" s="195"/>
      <c r="F116" s="196"/>
      <c r="G116" s="195"/>
      <c r="H116" s="197"/>
      <c r="I116" s="203"/>
      <c r="J116" s="204"/>
      <c r="K116" s="550"/>
    </row>
    <row r="117" spans="2:11" ht="14.65" customHeight="1" x14ac:dyDescent="0.25">
      <c r="B117" s="85"/>
      <c r="C117" s="71" t="s">
        <v>154</v>
      </c>
      <c r="D117" s="229"/>
      <c r="E117" s="436"/>
      <c r="F117" s="428">
        <f>E117*kütus_diisel_buss_2028/1000</f>
        <v>0</v>
      </c>
      <c r="G117" s="439"/>
      <c r="H117" s="430">
        <f>G117*transport_buss_2028/1000</f>
        <v>0</v>
      </c>
      <c r="I117" s="229"/>
      <c r="J117" s="236"/>
      <c r="K117" s="433">
        <f>SUM(F117+H117)</f>
        <v>0</v>
      </c>
    </row>
    <row r="118" spans="2:11" ht="14.65" customHeight="1" thickBot="1" x14ac:dyDescent="0.3">
      <c r="B118" s="87"/>
      <c r="C118" s="207" t="s">
        <v>155</v>
      </c>
      <c r="D118" s="230"/>
      <c r="E118" s="437"/>
      <c r="F118" s="429">
        <f>E118*kütus_diisel_kaubik_2028/1000</f>
        <v>0</v>
      </c>
      <c r="G118" s="440"/>
      <c r="H118" s="431">
        <f>IFERROR(G118*transport_väikebuss_2028/1000,0)</f>
        <v>0</v>
      </c>
      <c r="I118" s="230"/>
      <c r="J118" s="237"/>
      <c r="K118" s="434">
        <f>SUM(F118+H118)</f>
        <v>0</v>
      </c>
    </row>
    <row r="119" spans="2:11" ht="14.65" customHeight="1" thickBot="1" x14ac:dyDescent="0.3">
      <c r="B119" s="131"/>
      <c r="C119" s="225" t="s">
        <v>156</v>
      </c>
      <c r="D119" s="553"/>
      <c r="E119" s="226"/>
      <c r="F119" s="227"/>
      <c r="G119" s="227"/>
      <c r="H119" s="227"/>
      <c r="I119" s="227"/>
      <c r="J119" s="221"/>
      <c r="K119" s="554">
        <f>SUM(K112:K115,K117:K118,D119)</f>
        <v>0</v>
      </c>
    </row>
  </sheetData>
  <mergeCells count="93">
    <mergeCell ref="E74:F74"/>
    <mergeCell ref="G74:H74"/>
    <mergeCell ref="I74:J74"/>
    <mergeCell ref="I59:I61"/>
    <mergeCell ref="J59:J61"/>
    <mergeCell ref="H59:H61"/>
    <mergeCell ref="E42:F42"/>
    <mergeCell ref="G42:H42"/>
    <mergeCell ref="G58:H58"/>
    <mergeCell ref="D11:D13"/>
    <mergeCell ref="D27:D29"/>
    <mergeCell ref="D43:D45"/>
    <mergeCell ref="E26:F26"/>
    <mergeCell ref="G26:H26"/>
    <mergeCell ref="B11:B14"/>
    <mergeCell ref="C11:C14"/>
    <mergeCell ref="K11:K13"/>
    <mergeCell ref="B27:B30"/>
    <mergeCell ref="C27:C30"/>
    <mergeCell ref="E27:E29"/>
    <mergeCell ref="F27:F29"/>
    <mergeCell ref="G27:G29"/>
    <mergeCell ref="H27:H29"/>
    <mergeCell ref="I27:I29"/>
    <mergeCell ref="J27:J29"/>
    <mergeCell ref="K27:K29"/>
    <mergeCell ref="E11:E13"/>
    <mergeCell ref="F11:F13"/>
    <mergeCell ref="G11:G13"/>
    <mergeCell ref="H11:H13"/>
    <mergeCell ref="I11:I13"/>
    <mergeCell ref="J11:J13"/>
    <mergeCell ref="K43:K45"/>
    <mergeCell ref="I43:I45"/>
    <mergeCell ref="J43:J45"/>
    <mergeCell ref="I42:J42"/>
    <mergeCell ref="I26:J26"/>
    <mergeCell ref="K59:K61"/>
    <mergeCell ref="B43:B46"/>
    <mergeCell ref="C43:C46"/>
    <mergeCell ref="E43:E45"/>
    <mergeCell ref="F43:F45"/>
    <mergeCell ref="G43:G45"/>
    <mergeCell ref="H43:H45"/>
    <mergeCell ref="B59:B62"/>
    <mergeCell ref="C59:C62"/>
    <mergeCell ref="E59:E61"/>
    <mergeCell ref="F59:F61"/>
    <mergeCell ref="G59:G61"/>
    <mergeCell ref="E58:F58"/>
    <mergeCell ref="D59:D61"/>
    <mergeCell ref="I58:J58"/>
    <mergeCell ref="E106:F106"/>
    <mergeCell ref="G106:H106"/>
    <mergeCell ref="I106:J106"/>
    <mergeCell ref="D75:D77"/>
    <mergeCell ref="D91:D93"/>
    <mergeCell ref="H75:H77"/>
    <mergeCell ref="I75:I77"/>
    <mergeCell ref="J75:J77"/>
    <mergeCell ref="F91:F93"/>
    <mergeCell ref="G91:G93"/>
    <mergeCell ref="H91:H93"/>
    <mergeCell ref="I91:I93"/>
    <mergeCell ref="E90:F90"/>
    <mergeCell ref="G90:H90"/>
    <mergeCell ref="I90:J90"/>
    <mergeCell ref="K107:K109"/>
    <mergeCell ref="B107:B110"/>
    <mergeCell ref="C107:C110"/>
    <mergeCell ref="E107:E109"/>
    <mergeCell ref="F107:F109"/>
    <mergeCell ref="G107:G109"/>
    <mergeCell ref="D107:D109"/>
    <mergeCell ref="H107:H109"/>
    <mergeCell ref="I107:I109"/>
    <mergeCell ref="J107:J109"/>
    <mergeCell ref="K75:K77"/>
    <mergeCell ref="B91:B94"/>
    <mergeCell ref="C91:C94"/>
    <mergeCell ref="J91:J93"/>
    <mergeCell ref="B3:K3"/>
    <mergeCell ref="B4:K4"/>
    <mergeCell ref="E10:F10"/>
    <mergeCell ref="G10:H10"/>
    <mergeCell ref="I10:J10"/>
    <mergeCell ref="K91:K93"/>
    <mergeCell ref="B75:B78"/>
    <mergeCell ref="C75:C78"/>
    <mergeCell ref="E75:E77"/>
    <mergeCell ref="F75:F77"/>
    <mergeCell ref="G75:G77"/>
    <mergeCell ref="E91:E93"/>
  </mergeCells>
  <pageMargins left="0.70866141732283472" right="0.70866141732283472" top="0.74803149606299213" bottom="0.74803149606299213" header="0.31496062992125984" footer="0.31496062992125984"/>
  <pageSetup scale="6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B8604"/>
  </sheetPr>
  <dimension ref="B1:AH46"/>
  <sheetViews>
    <sheetView showGridLines="0" zoomScaleNormal="100" zoomScaleSheetLayoutView="100" workbookViewId="0">
      <pane xSplit="1" ySplit="1" topLeftCell="B2" activePane="bottomRight" state="frozen"/>
      <selection pane="topRight" activeCell="B1" sqref="B1"/>
      <selection pane="bottomLeft" activeCell="A3" sqref="A3"/>
      <selection pane="bottomRight" activeCell="I22" sqref="I22"/>
    </sheetView>
  </sheetViews>
  <sheetFormatPr defaultRowHeight="15" x14ac:dyDescent="0.25"/>
  <cols>
    <col min="1" max="1" width="2.5703125" customWidth="1"/>
    <col min="2" max="2" width="56.7109375" customWidth="1"/>
    <col min="3" max="7" width="9.28515625" style="39" customWidth="1"/>
    <col min="8" max="8" width="9.28515625" style="63" customWidth="1"/>
    <col min="9" max="9" width="9.28515625" style="63"/>
    <col min="12" max="12" width="8.7109375" customWidth="1"/>
    <col min="15" max="15" width="10" bestFit="1" customWidth="1"/>
    <col min="26" max="26" width="17" customWidth="1"/>
  </cols>
  <sheetData>
    <row r="1" spans="2:11" ht="18.75" x14ac:dyDescent="0.3">
      <c r="B1" s="25" t="s">
        <v>350</v>
      </c>
    </row>
    <row r="2" spans="2:11" x14ac:dyDescent="0.25">
      <c r="B2" s="22"/>
      <c r="K2" s="49"/>
    </row>
    <row r="3" spans="2:11" ht="69" customHeight="1" x14ac:dyDescent="0.25">
      <c r="B3" s="680" t="s">
        <v>363</v>
      </c>
      <c r="C3" s="562"/>
      <c r="D3" s="562"/>
      <c r="E3" s="562"/>
      <c r="F3" s="562"/>
      <c r="G3" s="562"/>
      <c r="H3" s="562"/>
      <c r="I3" s="563"/>
    </row>
    <row r="4" spans="2:11" x14ac:dyDescent="0.25">
      <c r="B4" s="35"/>
      <c r="C4" s="65"/>
      <c r="D4" s="65"/>
    </row>
    <row r="5" spans="2:11" ht="15.75" x14ac:dyDescent="0.25">
      <c r="B5" s="156" t="s">
        <v>158</v>
      </c>
      <c r="C5" s="67"/>
    </row>
    <row r="6" spans="2:11" ht="16.5" thickBot="1" x14ac:dyDescent="0.3">
      <c r="B6" s="146"/>
      <c r="C6" s="67"/>
      <c r="D6" s="67"/>
      <c r="F6" s="261"/>
    </row>
    <row r="7" spans="2:11" ht="16.5" thickBot="1" x14ac:dyDescent="0.3">
      <c r="B7" s="179"/>
      <c r="C7" s="50">
        <f>ÜLDANDMED!C10</f>
        <v>2022</v>
      </c>
      <c r="D7" s="50">
        <f>ÜLDANDMED!D10</f>
        <v>2023</v>
      </c>
      <c r="E7" s="50">
        <f>ÜLDANDMED!E10</f>
        <v>2024</v>
      </c>
      <c r="F7" s="50">
        <f>ÜLDANDMED!F10</f>
        <v>2025</v>
      </c>
      <c r="G7" s="50">
        <f>ÜLDANDMED!G10</f>
        <v>2026</v>
      </c>
      <c r="H7" s="50">
        <f>ÜLDANDMED!H10</f>
        <v>2027</v>
      </c>
      <c r="I7" s="50">
        <f>ÜLDANDMED!I10</f>
        <v>2028</v>
      </c>
    </row>
    <row r="8" spans="2:11" x14ac:dyDescent="0.25">
      <c r="B8" s="442" t="s">
        <v>370</v>
      </c>
      <c r="C8" s="445">
        <f>'KHG_OMA SÕIDUKID M1'!E18</f>
        <v>0</v>
      </c>
      <c r="D8" s="445">
        <f>'KHG_OMA SÕIDUKID M1'!E31</f>
        <v>0</v>
      </c>
      <c r="E8" s="445">
        <f>'KHG_OMA SÕIDUKID M1'!E44</f>
        <v>0</v>
      </c>
      <c r="F8" s="445">
        <f>'KHG_OMA SÕIDUKID M1'!E57</f>
        <v>0</v>
      </c>
      <c r="G8" s="445">
        <f>'KHG_OMA SÕIDUKID M1'!E70</f>
        <v>0</v>
      </c>
      <c r="H8" s="445">
        <f>'KHG_OMA SÕIDUKID M1'!E83</f>
        <v>0</v>
      </c>
      <c r="I8" s="445">
        <f>'KHG_OMA SÕIDUKID M1'!E96</f>
        <v>0</v>
      </c>
    </row>
    <row r="9" spans="2:11" ht="15.75" thickBot="1" x14ac:dyDescent="0.3">
      <c r="B9" s="443" t="s">
        <v>159</v>
      </c>
      <c r="C9" s="444">
        <f>'KHG_HAJUSHEITMED M1'!F26</f>
        <v>0</v>
      </c>
      <c r="D9" s="444">
        <f>'KHG_HAJUSHEITMED M1'!F45</f>
        <v>0</v>
      </c>
      <c r="E9" s="444">
        <f>'KHG_HAJUSHEITMED M1'!F64</f>
        <v>0</v>
      </c>
      <c r="F9" s="444">
        <f>'KHG_HAJUSHEITMED M1'!F83</f>
        <v>0</v>
      </c>
      <c r="G9" s="444">
        <f>'KHG_HAJUSHEITMED M1'!F102</f>
        <v>0</v>
      </c>
      <c r="H9" s="444">
        <f>'KHG_HAJUSHEITMED M1'!F121</f>
        <v>0</v>
      </c>
      <c r="I9" s="444">
        <f>'KHG_HAJUSHEITMED M1'!F140</f>
        <v>0</v>
      </c>
    </row>
    <row r="10" spans="2:11" ht="15.75" thickBot="1" x14ac:dyDescent="0.3">
      <c r="B10" s="154" t="s">
        <v>160</v>
      </c>
      <c r="C10" s="155">
        <f t="shared" ref="C10:I10" si="0">SUM(C8+C9)</f>
        <v>0</v>
      </c>
      <c r="D10" s="155">
        <f t="shared" si="0"/>
        <v>0</v>
      </c>
      <c r="E10" s="155">
        <f t="shared" si="0"/>
        <v>0</v>
      </c>
      <c r="F10" s="155">
        <f t="shared" si="0"/>
        <v>0</v>
      </c>
      <c r="G10" s="155">
        <f t="shared" si="0"/>
        <v>0</v>
      </c>
      <c r="H10" s="155">
        <f t="shared" si="0"/>
        <v>0</v>
      </c>
      <c r="I10" s="155">
        <f t="shared" si="0"/>
        <v>0</v>
      </c>
    </row>
    <row r="11" spans="2:11" ht="16.5" thickBot="1" x14ac:dyDescent="0.3">
      <c r="B11" s="172"/>
      <c r="I11" s="173"/>
      <c r="K11" s="17"/>
    </row>
    <row r="12" spans="2:11" ht="15.75" thickBot="1" x14ac:dyDescent="0.3">
      <c r="B12" s="174"/>
      <c r="C12" s="50">
        <f>ÜLDANDMED!C10</f>
        <v>2022</v>
      </c>
      <c r="D12" s="50">
        <f>ÜLDANDMED!D10</f>
        <v>2023</v>
      </c>
      <c r="E12" s="50">
        <f>ÜLDANDMED!E10</f>
        <v>2024</v>
      </c>
      <c r="F12" s="50">
        <f>ÜLDANDMED!F10</f>
        <v>2025</v>
      </c>
      <c r="G12" s="50">
        <f>ÜLDANDMED!G10</f>
        <v>2026</v>
      </c>
      <c r="H12" s="50">
        <f>ÜLDANDMED!H10</f>
        <v>2027</v>
      </c>
      <c r="I12" s="50">
        <f>ÜLDANDMED!I10</f>
        <v>2028</v>
      </c>
      <c r="K12" s="17"/>
    </row>
    <row r="13" spans="2:11" x14ac:dyDescent="0.25">
      <c r="B13" s="446" t="s">
        <v>371</v>
      </c>
      <c r="C13" s="515">
        <f>(ELEKTER!P12*(1-ELEKTER!Q12))*segajääk_2022/1000</f>
        <v>0</v>
      </c>
      <c r="D13" s="447">
        <f>(ELEKTER!P17*(1-ELEKTER!Q17))*segajääk_2023/1000</f>
        <v>0</v>
      </c>
      <c r="E13" s="447">
        <f>(ELEKTER!P22*(1-ELEKTER!Q22))*segajääk_2024/1000</f>
        <v>0</v>
      </c>
      <c r="F13" s="447">
        <f>(ELEKTER!P27*(1-ELEKTER!Q27))*segajääk_2025/1000</f>
        <v>0</v>
      </c>
      <c r="G13" s="447">
        <f>(ELEKTER!P32*(1-ELEKTER!Q32))*segajääk_2026/1000</f>
        <v>0</v>
      </c>
      <c r="H13" s="447">
        <f>(ELEKTER!P37*(1-ELEKTER!Q37))*segajääk_2027/1000</f>
        <v>0</v>
      </c>
      <c r="I13" s="447">
        <f>(ELEKTER!P42*(1-ELEKTER!Q42))*segajääk_2028/1000</f>
        <v>0</v>
      </c>
    </row>
    <row r="14" spans="2:11" x14ac:dyDescent="0.25">
      <c r="B14" s="453" t="s">
        <v>372</v>
      </c>
      <c r="C14" s="448">
        <f>IF(ISBLANK(SOOJUS!Q15),(SOOJUS!P15*(IF(SOOJUS!S15="biomass/puit",lokaalküte_biomass_2022,IF(SOOJUS!S15="freesturvas",lokaalküte_freesturvas_2022,IF(SOOJUS!S15="kütteõli",lokaalküte_kütteõli_2022,IF(SOOJUS!S15="maagaas",lokaalküte_maagaas_2022,IF(SOOJUS!S15="põlevkiviõli",lokaalküte_põlevkiviõli_2022)))))))/1000,SOOJUS!P15*SOOJUS!R15/1000)</f>
        <v>0</v>
      </c>
      <c r="D14" s="449">
        <f>IF(ISBLANK(SOOJUS!Q17),(SOOJUS!P17*(IF(SOOJUS!S17="biomass/puit",lokaalküte_biomass_2023,IF(SOOJUS!S17="freesturvas",lokaalküte_freesturvas_2023,IF(SOOJUS!S17="kütteõli",lokaalküte_kütteõli_2023,IF(SOOJUS!S17="maagaas",lokaalküte_maagaas_2023,IF(SOOJUS!S17="põlevkiviõli",lokaalküte_põlevkiviõli_2023)))))))/1000,SOOJUS!P17*SOOJUS!R17/1000)</f>
        <v>0</v>
      </c>
      <c r="E14" s="449">
        <f>IF(ISBLANK(SOOJUS!Q19),(SOOJUS!P19*(IF(SOOJUS!S19="biomass/puit",lokaalküte_biomass_2024,IF(SOOJUS!S19="freesturvas",lokaalküte_freesturvas_2024,IF(SOOJUS!S19="kütteõli",lokaalküte_kütteõli_2024,IF(SOOJUS!S19="maagaas",lokaalküte_maagaas_2024,IF(SOOJUS!S19="põlevkiviõli",lokaalküte_põlevkiviõli_2024)))))))/1000,SOOJUS!P19*SOOJUS!R19/1000)</f>
        <v>0</v>
      </c>
      <c r="F14" s="449">
        <f>IF(ISBLANK(SOOJUS!Q21),(SOOJUS!P21*(IF(SOOJUS!S21="biomass/puit",lokaalküte_biomass_2025,IF(SOOJUS!S21="freesturvas",lokaalküte_freesturvas_2025,IF(SOOJUS!S21="kütteõli",lokaalküte_kütteõli_2025,IF(SOOJUS!S21="maagaas",lokaalküte_maagaas_2025,IF(SOOJUS!S21="põlevkiviõli",lokaalküte_põlevkiviõli_2025)))))))/1000,SOOJUS!P21*SOOJUS!R21/1000)</f>
        <v>0</v>
      </c>
      <c r="G14" s="449">
        <f>IF(ISBLANK(SOOJUS!Q23),(SOOJUS!P23*(IF(SOOJUS!S23="biomass/puit",lokaalküte_biomass_2026,IF(SOOJUS!S23="freesturvas",lokaalküte_freesturvas_2026,IF(SOOJUS!S23="kütteõli",lokaalküte_kütteõli_2026,IF(SOOJUS!S23="maagaas",lokaalküte_maagaas_2026,IF(SOOJUS!S23="põlevkiviõli",lokaalküte_põlevkiviõli_2026)))))))/1000,SOOJUS!P23*SOOJUS!R23/1000)</f>
        <v>0</v>
      </c>
      <c r="H14" s="449">
        <f>IF(ISBLANK(SOOJUS!Q25),(SOOJUS!P25*(IF(SOOJUS!S25="biomass/puit",lokaalküte_biomass_2027,IF(SOOJUS!S25="freesturvas",lokaalküte_freesturvas_2027,IF(SOOJUS!S25="kütteõli",lokaalküte_kütteõli_2027,IF(SOOJUS!S25="maagaas",lokaalküte_maagaas_2027,IF(SOOJUS!S25="põlevkiviõli",lokaalküte_põlevkiviõli_2027)))))))/1000,SOOJUS!P25*SOOJUS!R25/1000)</f>
        <v>0</v>
      </c>
      <c r="I14" s="449">
        <f>IF(ISBLANK(SOOJUS!Q27),(SOOJUS!P27*(IF(SOOJUS!S27="biomass/puit",lokaalküte_biomass_2028,IF(SOOJUS!S27="freesturvas",lokaalküte_freesturvas_2028,IF(SOOJUS!S27="kütteõli",lokaalküte_kütteõli_2028,IF(SOOJUS!S27="maagaas",lokaalküte_maagaas_2028,IF(SOOJUS!S27="põlevkiviõli",lokaalküte_põlevkiviõli_2028)))))))/1000,SOOJUS!P27*SOOJUS!R27/1000)</f>
        <v>0</v>
      </c>
    </row>
    <row r="15" spans="2:11" ht="15" customHeight="1" thickBot="1" x14ac:dyDescent="0.3">
      <c r="B15" s="454" t="s">
        <v>373</v>
      </c>
      <c r="C15" s="450">
        <f>'KHG_OMA SÕIDUKID M1'!E19</f>
        <v>0</v>
      </c>
      <c r="D15" s="451">
        <f>'KHG_OMA SÕIDUKID M1'!E32</f>
        <v>0</v>
      </c>
      <c r="E15" s="451">
        <f>'KHG_OMA SÕIDUKID M1'!E45</f>
        <v>0</v>
      </c>
      <c r="F15" s="451">
        <f>'KHG_OMA SÕIDUKID M1'!E58</f>
        <v>0</v>
      </c>
      <c r="G15" s="452">
        <f>'KHG_OMA SÕIDUKID M1'!E71</f>
        <v>0</v>
      </c>
      <c r="H15" s="451">
        <f>'KHG_OMA SÕIDUKID M1'!E84</f>
        <v>0</v>
      </c>
      <c r="I15" s="451">
        <f>'KHG_OMA SÕIDUKID M1'!E97</f>
        <v>0</v>
      </c>
    </row>
    <row r="16" spans="2:11" ht="15.75" thickBot="1" x14ac:dyDescent="0.3">
      <c r="B16" s="98" t="s">
        <v>161</v>
      </c>
      <c r="C16" s="155">
        <f>SUM(C13:C15)</f>
        <v>0</v>
      </c>
      <c r="D16" s="94">
        <f t="shared" ref="D16:I16" si="1">SUM(D13:D15)</f>
        <v>0</v>
      </c>
      <c r="E16" s="94">
        <f t="shared" si="1"/>
        <v>0</v>
      </c>
      <c r="F16" s="94">
        <f t="shared" si="1"/>
        <v>0</v>
      </c>
      <c r="G16" s="94">
        <f t="shared" si="1"/>
        <v>0</v>
      </c>
      <c r="H16" s="94">
        <f t="shared" si="1"/>
        <v>0</v>
      </c>
      <c r="I16" s="94">
        <f t="shared" si="1"/>
        <v>0</v>
      </c>
    </row>
    <row r="17" spans="2:34" ht="15.75" thickBot="1" x14ac:dyDescent="0.3">
      <c r="B17" s="175"/>
      <c r="I17" s="176"/>
      <c r="M17" s="27"/>
    </row>
    <row r="18" spans="2:34" ht="15.75" thickBot="1" x14ac:dyDescent="0.3">
      <c r="B18" s="177"/>
      <c r="C18" s="69">
        <f>ÜLDANDMED!C10</f>
        <v>2022</v>
      </c>
      <c r="D18" s="69">
        <f>ÜLDANDMED!D10</f>
        <v>2023</v>
      </c>
      <c r="E18" s="69">
        <f>ÜLDANDMED!E10</f>
        <v>2024</v>
      </c>
      <c r="F18" s="69">
        <f>ÜLDANDMED!F10</f>
        <v>2025</v>
      </c>
      <c r="G18" s="69">
        <f>ÜLDANDMED!G10</f>
        <v>2026</v>
      </c>
      <c r="H18" s="69">
        <f>ÜLDANDMED!H10</f>
        <v>2027</v>
      </c>
      <c r="I18" s="69">
        <f>ÜLDANDMED!I10</f>
        <v>2028</v>
      </c>
    </row>
    <row r="19" spans="2:34" x14ac:dyDescent="0.25">
      <c r="B19" s="455" t="s">
        <v>162</v>
      </c>
      <c r="C19" s="514">
        <f>(ELEKTER!P14*(1-ELEKTER!R14))*segajääk_2022/1000</f>
        <v>0</v>
      </c>
      <c r="D19" s="456">
        <f>(ELEKTER!P19*(1-ELEKTER!R19))*segajääk_2023/1000</f>
        <v>0</v>
      </c>
      <c r="E19" s="456">
        <f>(ELEKTER!P24*(1-ELEKTER!R24))*segajääk_2024/1000</f>
        <v>0</v>
      </c>
      <c r="F19" s="456">
        <f>(ELEKTER!P29*(1-ELEKTER!R29))*segajääk_2025/1000</f>
        <v>0</v>
      </c>
      <c r="G19" s="456">
        <f>(ELEKTER!P34*(1-ELEKTER!R34))*segajääk_2026/1000</f>
        <v>0</v>
      </c>
      <c r="H19" s="456">
        <f>(ELEKTER!P39*(1-ELEKTER!R39))*segajääk_2027/1000</f>
        <v>0</v>
      </c>
      <c r="I19" s="456">
        <f>(ELEKTER!P44*(1-ELEKTER!R44))*segajääk_2028/1000</f>
        <v>0</v>
      </c>
    </row>
    <row r="20" spans="2:34" x14ac:dyDescent="0.25">
      <c r="B20" s="462" t="s">
        <v>163</v>
      </c>
      <c r="C20" s="457">
        <f>'KHG_TÖÖREISID M3'!E27</f>
        <v>0</v>
      </c>
      <c r="D20" s="457">
        <f>'KHG_TÖÖREISID M3'!E48</f>
        <v>0</v>
      </c>
      <c r="E20" s="457">
        <f>'KHG_TÖÖREISID M3'!E69</f>
        <v>0</v>
      </c>
      <c r="F20" s="457">
        <f>'KHG_TÖÖREISID M3'!E90</f>
        <v>0</v>
      </c>
      <c r="G20" s="457">
        <f>'KHG_TÖÖREISID M3'!E111</f>
        <v>0</v>
      </c>
      <c r="H20" s="457">
        <f>'KHG_TÖÖREISID M3'!E132</f>
        <v>0</v>
      </c>
      <c r="I20" s="458">
        <f>'KHG_TÖÖREISID M3'!E153</f>
        <v>0</v>
      </c>
      <c r="K20" s="74"/>
      <c r="L20" s="74"/>
    </row>
    <row r="21" spans="2:34" x14ac:dyDescent="0.25">
      <c r="B21" s="463" t="s">
        <v>164</v>
      </c>
      <c r="C21" s="459">
        <f>'KHG_TÖÖLE-KOJU M3'!E32</f>
        <v>0</v>
      </c>
      <c r="D21" s="459">
        <f>'KHG_TÖÖLE-KOJU M3'!E58</f>
        <v>0</v>
      </c>
      <c r="E21" s="459">
        <f>'KHG_TÖÖLE-KOJU M3'!E84</f>
        <v>0</v>
      </c>
      <c r="F21" s="459">
        <f>'KHG_TÖÖLE-KOJU M3'!E110</f>
        <v>0</v>
      </c>
      <c r="G21" s="459">
        <f>'KHG_TÖÖLE-KOJU M3'!E136</f>
        <v>0</v>
      </c>
      <c r="H21" s="459">
        <f>'KHG_TÖÖLE-KOJU M3'!E162</f>
        <v>0</v>
      </c>
      <c r="I21" s="459">
        <f>'KHG_TÖÖLE-KOJU M3'!E188</f>
        <v>0</v>
      </c>
      <c r="K21" s="90"/>
    </row>
    <row r="22" spans="2:34" x14ac:dyDescent="0.25">
      <c r="B22" s="464" t="s">
        <v>165</v>
      </c>
      <c r="C22" s="460">
        <f>'KHG_TRANSPORDITEENUS M3'!K23</f>
        <v>0</v>
      </c>
      <c r="D22" s="460">
        <f>'KHG_TRANSPORDITEENUS M3'!K39</f>
        <v>0</v>
      </c>
      <c r="E22" s="460">
        <f>'KHG_TRANSPORDITEENUS M3'!K55</f>
        <v>0</v>
      </c>
      <c r="F22" s="460">
        <f>'KHG_TRANSPORDITEENUS M3'!K71</f>
        <v>0</v>
      </c>
      <c r="G22" s="460">
        <f>'KHG_TRANSPORDITEENUS M3'!K87</f>
        <v>0</v>
      </c>
      <c r="H22" s="460">
        <f>'KHG_TRANSPORDITEENUS M3'!K103</f>
        <v>0</v>
      </c>
      <c r="I22" s="460">
        <f>'KHG_TRANSPORDITEENUS M3'!K119</f>
        <v>0</v>
      </c>
      <c r="K22" s="90"/>
      <c r="AA22" s="2">
        <v>2022</v>
      </c>
      <c r="AB22" s="2">
        <v>2023</v>
      </c>
      <c r="AC22" s="2">
        <v>2024</v>
      </c>
      <c r="AD22" s="2">
        <v>2025</v>
      </c>
      <c r="AE22" s="2">
        <v>2026</v>
      </c>
      <c r="AF22" s="2">
        <v>2027</v>
      </c>
      <c r="AG22" s="2">
        <v>2028</v>
      </c>
      <c r="AH22" s="2" t="s">
        <v>166</v>
      </c>
    </row>
    <row r="23" spans="2:34" x14ac:dyDescent="0.25">
      <c r="B23" s="463" t="s">
        <v>167</v>
      </c>
      <c r="C23" s="460">
        <f>(VESI!P12*vesi_2022)/1000</f>
        <v>0</v>
      </c>
      <c r="D23" s="460">
        <f>(VESI!P14*vesi_2023)/1000</f>
        <v>0</v>
      </c>
      <c r="E23" s="460">
        <f>(VESI!P16*vesi_2024)/1000</f>
        <v>0</v>
      </c>
      <c r="F23" s="460">
        <f>(VESI!P18*vesi_2025)/1000</f>
        <v>0</v>
      </c>
      <c r="G23" s="460">
        <f>(VESI!P20*vesi_2026)/1000</f>
        <v>0</v>
      </c>
      <c r="H23" s="460">
        <f>(VESI!P22*vesi_2027)/1000</f>
        <v>0</v>
      </c>
      <c r="I23" s="460">
        <f>(VESI!P24*vesi_2028)/1000</f>
        <v>0</v>
      </c>
      <c r="Y23" s="2" t="s">
        <v>168</v>
      </c>
      <c r="Z23" s="21" t="s">
        <v>374</v>
      </c>
      <c r="AA23" s="159" t="e">
        <f>C8/C33</f>
        <v>#DIV/0!</v>
      </c>
      <c r="AB23" s="159" t="e">
        <f t="shared" ref="AB23:AG23" si="2">D8/D33</f>
        <v>#DIV/0!</v>
      </c>
      <c r="AC23" s="159" t="e">
        <f t="shared" si="2"/>
        <v>#DIV/0!</v>
      </c>
      <c r="AD23" s="159" t="e">
        <f t="shared" si="2"/>
        <v>#DIV/0!</v>
      </c>
      <c r="AE23" s="159" t="e">
        <f t="shared" si="2"/>
        <v>#DIV/0!</v>
      </c>
      <c r="AF23" s="159" t="e">
        <f t="shared" si="2"/>
        <v>#DIV/0!</v>
      </c>
      <c r="AG23" s="159" t="e">
        <f t="shared" si="2"/>
        <v>#DIV/0!</v>
      </c>
      <c r="AH23" s="160" t="e">
        <f ca="1">OFFSET(Z23,,MATCH('KHG JALAJÄLG KOOND'!$Q$45,$AA$22:$AG$22,0))</f>
        <v>#DIV/0!</v>
      </c>
    </row>
    <row r="24" spans="2:34" x14ac:dyDescent="0.25">
      <c r="B24" s="465" t="s">
        <v>169</v>
      </c>
      <c r="C24" s="520">
        <f>(PABER!D20*paber_2022/1000)+(PABER!D21*lehträtik/1000)+(PABER!D23*tualettpaber/1000)</f>
        <v>0</v>
      </c>
      <c r="D24" s="520">
        <f>(PABER!D28*paber_2023/1000)+(PABER!D29*lehträtik/1000)+(PABER!D31*tualettpaber/1000)</f>
        <v>0</v>
      </c>
      <c r="E24" s="520">
        <f>(PABER!D36*paber_2024/1000)+(PABER!D37*lehträtik/1000)+(PABER!D39*tualettpaber/1000)</f>
        <v>0</v>
      </c>
      <c r="F24" s="520">
        <f>(PABER!D44*paber_2025/1000)+(PABER!D45*lehträtik/1000)+(PABER!D47*tualettpaber/1000)</f>
        <v>0</v>
      </c>
      <c r="G24" s="520">
        <f>(PABER!D52*paber_2026/1000)+(PABER!D53*lehträtik/1000)+(PABER!D55*tualettpaber/1000)</f>
        <v>0</v>
      </c>
      <c r="H24" s="520">
        <f>(PABER!D60*paber_2027/1000)+(PABER!D61*lehträtik/1000)+(PABER!D63*tualettpaber/1000)</f>
        <v>0</v>
      </c>
      <c r="I24" s="520">
        <f>(PABER!D68*paber_2028/1000)+(PABER!D69*lehträtik/1000)+(PABER!D71*tualettpaber/1000)</f>
        <v>0</v>
      </c>
      <c r="Z24" s="21" t="s">
        <v>170</v>
      </c>
      <c r="AA24" s="159" t="e">
        <f>C9/C33</f>
        <v>#DIV/0!</v>
      </c>
      <c r="AB24" s="159" t="e">
        <f t="shared" ref="AB24:AG24" si="3">D9/D33</f>
        <v>#DIV/0!</v>
      </c>
      <c r="AC24" s="159" t="e">
        <f t="shared" si="3"/>
        <v>#DIV/0!</v>
      </c>
      <c r="AD24" s="159" t="e">
        <f t="shared" si="3"/>
        <v>#DIV/0!</v>
      </c>
      <c r="AE24" s="159" t="e">
        <f t="shared" si="3"/>
        <v>#DIV/0!</v>
      </c>
      <c r="AF24" s="159" t="e">
        <f t="shared" si="3"/>
        <v>#DIV/0!</v>
      </c>
      <c r="AG24" s="159" t="e">
        <f t="shared" si="3"/>
        <v>#DIV/0!</v>
      </c>
      <c r="AH24" s="160" t="e">
        <f ca="1">OFFSET(Z24,,MATCH('KHG JALAJÄLG KOOND'!$Q$45,$AA$22:$AG$22,0))</f>
        <v>#DIV/0!</v>
      </c>
    </row>
    <row r="25" spans="2:34" ht="15.75" thickBot="1" x14ac:dyDescent="0.3">
      <c r="B25" s="466" t="s">
        <v>171</v>
      </c>
      <c r="C25" s="458">
        <f>((JÄÄTMED!P19/1000*jäätmed_biojäätmed)+(JÄÄTMED!P20/1000*jäätmed_biojäätmed)+(JÄÄTMED!P22/1000*jäätmed_klaas)+(JÄÄTMED!P23/1000*jäätmed_klaas)+(JÄÄTMED!P25/1000*jäätmed_paber)+(JÄÄTMED!P26/1000*jäätmed_paber)+(JÄÄTMED!P28/1000*jäätmed_segapakend)+(JÄÄTMED!P29/1000*jäätmed_segapakend)+(JÄÄTMED!P32/1000*jäätmed_segaolme_prügila)+(JÄÄTMED!P33/1000*jäätmed_segaolme_prügila)+(JÄÄTMED!P35/1000*jäätmed_segaolme_põletus)+(JÄÄTMED!P36/1000*jäätmed_segaolme_põletus))/1000</f>
        <v>0</v>
      </c>
      <c r="D25" s="461">
        <f>((JÄÄTMED!P46/1000*jäätmed_biojäätmed)+(JÄÄTMED!P47/1000*jäätmed_biojäätmed)+(JÄÄTMED!P49/1000*jäätmed_klaas)+(JÄÄTMED!P50/1000*jäätmed_klaas)+(JÄÄTMED!P52/1000*jäätmed_paber)+(JÄÄTMED!P53/1000*jäätmed_paber)+(JÄÄTMED!P55/1000*jäätmed_segapakend)+(JÄÄTMED!P56/1000*jäätmed_segapakend)+(JÄÄTMED!P59/1000*jäätmed_segaolme_prügila)+(JÄÄTMED!P60/1000*jäätmed_segaolme_prügila)+(JÄÄTMED!P62/1000*jäätmed_segaolme_põletus)+(JÄÄTMED!P63/1000*jäätmed_segaolme_põletus))/1000</f>
        <v>0</v>
      </c>
      <c r="E25" s="461">
        <f>((JÄÄTMED!P73/1000*jäätmed_biojäätmed)+(JÄÄTMED!P74/1000*jäätmed_biojäätmed)+(JÄÄTMED!P76/1000*jäätmed_klaas)+(JÄÄTMED!P77/1000*jäätmed_klaas)+(JÄÄTMED!P79/1000*jäätmed_paber)+(JÄÄTMED!P80/1000*jäätmed_paber)+(JÄÄTMED!P82/1000*jäätmed_segapakend)+(JÄÄTMED!P83/1000*jäätmed_segapakend)+(JÄÄTMED!P86/1000*jäätmed_segaolme_prügila)+(JÄÄTMED!P87/1000*jäätmed_segaolme_prügila)+(JÄÄTMED!P89/1000*jäätmed_segaolme_põletus)+(JÄÄTMED!P90/1000*jäätmed_segaolme_põletus))/1000</f>
        <v>0</v>
      </c>
      <c r="F25" s="461">
        <f>((JÄÄTMED!P100/1000*jäätmed_biojäätmed)+(JÄÄTMED!P101/1000*jäätmed_biojäätmed)+(JÄÄTMED!P103/1000*jäätmed_klaas)+(JÄÄTMED!P104/1000*jäätmed_klaas)+(JÄÄTMED!P106/1000*jäätmed_paber)+(JÄÄTMED!P107/1000*jäätmed_paber)+(JÄÄTMED!P109/1000*jäätmed_segapakend)+(JÄÄTMED!P110/1000*jäätmed_segapakend)+(JÄÄTMED!P113/1000*jäätmed_segaolme_prügila)+(JÄÄTMED!P114/1000*jäätmed_segaolme_prügila)+(JÄÄTMED!P116/1000*jäätmed_segaolme_põletus)+(JÄÄTMED!P117/1000*jäätmed_segaolme_põletus))/1000</f>
        <v>0</v>
      </c>
      <c r="G25" s="461">
        <f>((JÄÄTMED!P127/1000*jäätmed_biojäätmed)+(JÄÄTMED!P128/1000*jäätmed_biojäätmed)+(JÄÄTMED!P130/1000*jäätmed_klaas)+(JÄÄTMED!P131/1000*jäätmed_klaas)+(JÄÄTMED!P133/1000*jäätmed_paber)+(JÄÄTMED!P134/1000*jäätmed_paber)+(JÄÄTMED!P136/1000*jäätmed_segapakend)+(JÄÄTMED!P137/1000*jäätmed_segapakend)+(JÄÄTMED!P140/1000*jäätmed_segaolme_prügila)+(JÄÄTMED!P141/1000*jäätmed_segaolme_prügila)+(JÄÄTMED!P143/1000*jäätmed_segaolme_põletus)+(JÄÄTMED!P144/1000*jäätmed_segaolme_põletus))/1000</f>
        <v>0</v>
      </c>
      <c r="H25" s="461">
        <f>((JÄÄTMED!P154/1000*jäätmed_biojäätmed)+(JÄÄTMED!P155/1000*jäätmed_biojäätmed)+(JÄÄTMED!P157/1000*jäätmed_klaas)+(JÄÄTMED!P158/1000*jäätmed_klaas)+(JÄÄTMED!P160/1000*jäätmed_paber)+(JÄÄTMED!P161/1000*jäätmed_paber)+(JÄÄTMED!P163/1000*jäätmed_segapakend)+(JÄÄTMED!P164/1000*jäätmed_segapakend)+(JÄÄTMED!P167/1000*jäätmed_segaolme_prügila)+(JÄÄTMED!P168/1000*jäätmed_segaolme_prügila)+(JÄÄTMED!P170/1000*jäätmed_segaolme_põletus)+(JÄÄTMED!P171/1000*jäätmed_segaolme_põletus))/1000</f>
        <v>0</v>
      </c>
      <c r="I25" s="461">
        <f>((JÄÄTMED!P181/1000*jäätmed_biojäätmed)+(JÄÄTMED!P182/1000*jäätmed_biojäätmed)+(JÄÄTMED!P184/1000*jäätmed_klaas)+(JÄÄTMED!P185/1000*jäätmed_klaas)+(JÄÄTMED!P187/1000*jäätmed_paber)+(JÄÄTMED!P188/1000*jäätmed_paber)+(JÄÄTMED!P190/1000*jäätmed_segapakend)+(JÄÄTMED!P191/1000*jäätmed_segapakend)+(JÄÄTMED!P194/1000*jäätmed_segaolme_prügila)+(JÄÄTMED!P195/1000*jäätmed_segaolme_prügila)+(JÄÄTMED!P197/1000*jäätmed_segaolme_põletus)+(JÄÄTMED!P198/1000*jäätmed_segaolme_põletus))/1000</f>
        <v>0</v>
      </c>
      <c r="Y25" s="2"/>
      <c r="Z25" s="254" t="s">
        <v>172</v>
      </c>
      <c r="AA25" s="161" t="e">
        <f>AA23+AA24</f>
        <v>#DIV/0!</v>
      </c>
      <c r="AB25" s="161" t="e">
        <f t="shared" ref="AB25:AF25" si="4">AB23+AB24</f>
        <v>#DIV/0!</v>
      </c>
      <c r="AC25" s="161" t="e">
        <f t="shared" si="4"/>
        <v>#DIV/0!</v>
      </c>
      <c r="AD25" s="161" t="e">
        <f t="shared" si="4"/>
        <v>#DIV/0!</v>
      </c>
      <c r="AE25" s="161" t="e">
        <f t="shared" si="4"/>
        <v>#DIV/0!</v>
      </c>
      <c r="AF25" s="161" t="e">
        <f t="shared" si="4"/>
        <v>#DIV/0!</v>
      </c>
      <c r="AG25" s="161" t="e">
        <f>AG23+AG24</f>
        <v>#DIV/0!</v>
      </c>
      <c r="AH25" s="162" t="e">
        <f ca="1">OFFSET(Z25,,MATCH('KHG JALAJÄLG KOOND'!$Q$45,$AA$22:$AG$22,0))</f>
        <v>#DIV/0!</v>
      </c>
    </row>
    <row r="26" spans="2:34" ht="15.75" thickBot="1" x14ac:dyDescent="0.3">
      <c r="B26" s="98" t="s">
        <v>173</v>
      </c>
      <c r="C26" s="155">
        <f>SUM(C19:C25)</f>
        <v>0</v>
      </c>
      <c r="D26" s="94">
        <f t="shared" ref="D26:I26" si="5">SUM(D19:D25)</f>
        <v>0</v>
      </c>
      <c r="E26" s="94">
        <f t="shared" si="5"/>
        <v>0</v>
      </c>
      <c r="F26" s="94">
        <f t="shared" si="5"/>
        <v>0</v>
      </c>
      <c r="G26" s="94">
        <f t="shared" si="5"/>
        <v>0</v>
      </c>
      <c r="H26" s="94">
        <f t="shared" si="5"/>
        <v>0</v>
      </c>
      <c r="I26" s="94">
        <f t="shared" si="5"/>
        <v>0</v>
      </c>
      <c r="N26" s="27"/>
      <c r="Y26" s="2" t="s">
        <v>174</v>
      </c>
      <c r="Z26" s="21" t="s">
        <v>375</v>
      </c>
      <c r="AA26" s="159" t="e">
        <f>C13/C33</f>
        <v>#DIV/0!</v>
      </c>
      <c r="AB26" s="159" t="e">
        <f t="shared" ref="AB26:AG26" si="6">D13/D33</f>
        <v>#DIV/0!</v>
      </c>
      <c r="AC26" s="159" t="e">
        <f t="shared" si="6"/>
        <v>#DIV/0!</v>
      </c>
      <c r="AD26" s="159" t="e">
        <f t="shared" si="6"/>
        <v>#DIV/0!</v>
      </c>
      <c r="AE26" s="159" t="e">
        <f t="shared" si="6"/>
        <v>#DIV/0!</v>
      </c>
      <c r="AF26" s="159" t="e">
        <f t="shared" si="6"/>
        <v>#DIV/0!</v>
      </c>
      <c r="AG26" s="159" t="e">
        <f t="shared" si="6"/>
        <v>#DIV/0!</v>
      </c>
      <c r="AH26" s="160" t="e">
        <f ca="1">OFFSET(Z26,,MATCH('KHG JALAJÄLG KOOND'!$Q$45,$AA$22:$AG$22,0))</f>
        <v>#DIV/0!</v>
      </c>
    </row>
    <row r="27" spans="2:34" x14ac:dyDescent="0.25">
      <c r="B27" s="174"/>
      <c r="I27" s="176"/>
      <c r="Y27" s="2"/>
      <c r="Z27" s="21" t="s">
        <v>376</v>
      </c>
      <c r="AA27" s="159" t="e">
        <f>C14/C33</f>
        <v>#DIV/0!</v>
      </c>
      <c r="AB27" s="159" t="e">
        <f t="shared" ref="AB27:AG27" si="7">D14/D33</f>
        <v>#DIV/0!</v>
      </c>
      <c r="AC27" s="159" t="e">
        <f t="shared" si="7"/>
        <v>#DIV/0!</v>
      </c>
      <c r="AD27" s="159" t="e">
        <f t="shared" si="7"/>
        <v>#DIV/0!</v>
      </c>
      <c r="AE27" s="159" t="e">
        <f t="shared" si="7"/>
        <v>#DIV/0!</v>
      </c>
      <c r="AF27" s="159" t="e">
        <f t="shared" si="7"/>
        <v>#DIV/0!</v>
      </c>
      <c r="AG27" s="159" t="e">
        <f t="shared" si="7"/>
        <v>#DIV/0!</v>
      </c>
      <c r="AH27" s="160" t="e">
        <f ca="1">OFFSET(Z27,,MATCH('KHG JALAJÄLG KOOND'!$Q$45,$AA$22:$AG$22,0))</f>
        <v>#DIV/0!</v>
      </c>
    </row>
    <row r="28" spans="2:34" ht="15.75" thickBot="1" x14ac:dyDescent="0.3">
      <c r="B28" s="174"/>
      <c r="I28" s="176"/>
      <c r="Y28" s="2"/>
      <c r="Z28" s="21" t="s">
        <v>377</v>
      </c>
      <c r="AA28" s="160" t="e">
        <f t="shared" ref="AA28:AG28" si="8">C15/C33</f>
        <v>#DIV/0!</v>
      </c>
      <c r="AB28" s="160" t="e">
        <f t="shared" si="8"/>
        <v>#DIV/0!</v>
      </c>
      <c r="AC28" s="160" t="e">
        <f t="shared" si="8"/>
        <v>#DIV/0!</v>
      </c>
      <c r="AD28" s="160" t="e">
        <f t="shared" si="8"/>
        <v>#DIV/0!</v>
      </c>
      <c r="AE28" s="160" t="e">
        <f t="shared" si="8"/>
        <v>#DIV/0!</v>
      </c>
      <c r="AF28" s="160" t="e">
        <f t="shared" si="8"/>
        <v>#DIV/0!</v>
      </c>
      <c r="AG28" s="160" t="e">
        <f t="shared" si="8"/>
        <v>#DIV/0!</v>
      </c>
      <c r="AH28" s="160" t="e">
        <f ca="1">OFFSET(Z28,,MATCH('KHG JALAJÄLG KOOND'!$Q$45,$AA$22:$AG$22,0))</f>
        <v>#DIV/0!</v>
      </c>
    </row>
    <row r="29" spans="2:34" ht="15.75" thickBot="1" x14ac:dyDescent="0.3">
      <c r="B29" s="178"/>
      <c r="C29" s="95">
        <f t="shared" ref="C29:I29" si="9">C12</f>
        <v>2022</v>
      </c>
      <c r="D29" s="95">
        <f t="shared" si="9"/>
        <v>2023</v>
      </c>
      <c r="E29" s="95">
        <f t="shared" si="9"/>
        <v>2024</v>
      </c>
      <c r="F29" s="95">
        <f t="shared" si="9"/>
        <v>2025</v>
      </c>
      <c r="G29" s="95">
        <f t="shared" si="9"/>
        <v>2026</v>
      </c>
      <c r="H29" s="95">
        <f t="shared" si="9"/>
        <v>2027</v>
      </c>
      <c r="I29" s="95">
        <f t="shared" si="9"/>
        <v>2028</v>
      </c>
      <c r="Y29" s="2"/>
      <c r="Z29" s="254" t="s">
        <v>175</v>
      </c>
      <c r="AA29" s="161" t="e">
        <f>AA26+AA27+AA28</f>
        <v>#DIV/0!</v>
      </c>
      <c r="AB29" s="161" t="e">
        <f t="shared" ref="AB29:AG29" si="10">AB26+AB27+AB28</f>
        <v>#DIV/0!</v>
      </c>
      <c r="AC29" s="161" t="e">
        <f t="shared" si="10"/>
        <v>#DIV/0!</v>
      </c>
      <c r="AD29" s="161" t="e">
        <f t="shared" si="10"/>
        <v>#DIV/0!</v>
      </c>
      <c r="AE29" s="161" t="e">
        <f t="shared" si="10"/>
        <v>#DIV/0!</v>
      </c>
      <c r="AF29" s="161" t="e">
        <f t="shared" si="10"/>
        <v>#DIV/0!</v>
      </c>
      <c r="AG29" s="161" t="e">
        <f t="shared" si="10"/>
        <v>#DIV/0!</v>
      </c>
      <c r="AH29" s="162" t="e">
        <f ca="1">OFFSET(Z29,,MATCH('KHG JALAJÄLG KOOND'!$Q$45,$AA$22:$AG$22,0))</f>
        <v>#DIV/0!</v>
      </c>
    </row>
    <row r="30" spans="2:34" ht="29.1" customHeight="1" x14ac:dyDescent="0.25">
      <c r="B30" s="471" t="s">
        <v>176</v>
      </c>
      <c r="C30" s="445">
        <f t="shared" ref="C30:I30" si="11">C10</f>
        <v>0</v>
      </c>
      <c r="D30" s="445">
        <f t="shared" si="11"/>
        <v>0</v>
      </c>
      <c r="E30" s="445">
        <f t="shared" si="11"/>
        <v>0</v>
      </c>
      <c r="F30" s="445">
        <f t="shared" si="11"/>
        <v>0</v>
      </c>
      <c r="G30" s="445">
        <f t="shared" si="11"/>
        <v>0</v>
      </c>
      <c r="H30" s="445">
        <f t="shared" si="11"/>
        <v>0</v>
      </c>
      <c r="I30" s="445">
        <f t="shared" si="11"/>
        <v>0</v>
      </c>
      <c r="Y30" s="2" t="s">
        <v>177</v>
      </c>
      <c r="Z30" s="21" t="s">
        <v>178</v>
      </c>
      <c r="AA30" s="160" t="e">
        <f>C19/C33</f>
        <v>#DIV/0!</v>
      </c>
      <c r="AB30" s="160" t="e">
        <f t="shared" ref="AB30:AG30" si="12">D19/D33</f>
        <v>#DIV/0!</v>
      </c>
      <c r="AC30" s="160" t="e">
        <f t="shared" si="12"/>
        <v>#DIV/0!</v>
      </c>
      <c r="AD30" s="160" t="e">
        <f t="shared" si="12"/>
        <v>#DIV/0!</v>
      </c>
      <c r="AE30" s="160" t="e">
        <f t="shared" si="12"/>
        <v>#DIV/0!</v>
      </c>
      <c r="AF30" s="160" t="e">
        <f t="shared" si="12"/>
        <v>#DIV/0!</v>
      </c>
      <c r="AG30" s="160" t="e">
        <f t="shared" si="12"/>
        <v>#DIV/0!</v>
      </c>
      <c r="AH30" s="160" t="e">
        <f ca="1">OFFSET(Z30,,MATCH('KHG JALAJÄLG KOOND'!$Q$45,$AA$22:$AG$22,0))</f>
        <v>#DIV/0!</v>
      </c>
    </row>
    <row r="31" spans="2:34" ht="29.1" customHeight="1" x14ac:dyDescent="0.25">
      <c r="B31" s="469" t="s">
        <v>179</v>
      </c>
      <c r="C31" s="470">
        <f t="shared" ref="C31:I31" si="13">C16</f>
        <v>0</v>
      </c>
      <c r="D31" s="470">
        <f t="shared" si="13"/>
        <v>0</v>
      </c>
      <c r="E31" s="470">
        <f t="shared" si="13"/>
        <v>0</v>
      </c>
      <c r="F31" s="470">
        <f t="shared" si="13"/>
        <v>0</v>
      </c>
      <c r="G31" s="470">
        <f t="shared" si="13"/>
        <v>0</v>
      </c>
      <c r="H31" s="470">
        <f t="shared" si="13"/>
        <v>0</v>
      </c>
      <c r="I31" s="470">
        <f t="shared" si="13"/>
        <v>0</v>
      </c>
      <c r="Y31" s="2"/>
      <c r="Z31" s="21" t="s">
        <v>163</v>
      </c>
      <c r="AA31" s="159" t="e">
        <f>C20/C33</f>
        <v>#DIV/0!</v>
      </c>
      <c r="AB31" s="159" t="e">
        <f t="shared" ref="AB31:AG31" si="14">D20/D33</f>
        <v>#DIV/0!</v>
      </c>
      <c r="AC31" s="159" t="e">
        <f t="shared" si="14"/>
        <v>#DIV/0!</v>
      </c>
      <c r="AD31" s="159" t="e">
        <f t="shared" si="14"/>
        <v>#DIV/0!</v>
      </c>
      <c r="AE31" s="159" t="e">
        <f t="shared" si="14"/>
        <v>#DIV/0!</v>
      </c>
      <c r="AF31" s="159" t="e">
        <f t="shared" si="14"/>
        <v>#DIV/0!</v>
      </c>
      <c r="AG31" s="159" t="e">
        <f t="shared" si="14"/>
        <v>#DIV/0!</v>
      </c>
      <c r="AH31" s="160" t="e">
        <f ca="1">OFFSET(Z31,,MATCH('KHG JALAJÄLG KOOND'!$Q$45,$AA$22:$AG$22,0))</f>
        <v>#DIV/0!</v>
      </c>
    </row>
    <row r="32" spans="2:34" ht="29.1" customHeight="1" thickBot="1" x14ac:dyDescent="0.3">
      <c r="B32" s="467" t="s">
        <v>180</v>
      </c>
      <c r="C32" s="468">
        <f>C26</f>
        <v>0</v>
      </c>
      <c r="D32" s="468">
        <f t="shared" ref="D32:I32" si="15">D26</f>
        <v>0</v>
      </c>
      <c r="E32" s="468">
        <f t="shared" si="15"/>
        <v>0</v>
      </c>
      <c r="F32" s="468">
        <f t="shared" si="15"/>
        <v>0</v>
      </c>
      <c r="G32" s="468">
        <f t="shared" si="15"/>
        <v>0</v>
      </c>
      <c r="H32" s="468">
        <f t="shared" si="15"/>
        <v>0</v>
      </c>
      <c r="I32" s="468">
        <f t="shared" si="15"/>
        <v>0</v>
      </c>
      <c r="Y32" s="2"/>
      <c r="Z32" s="21" t="s">
        <v>181</v>
      </c>
      <c r="AA32" s="159" t="e">
        <f>C21/C33</f>
        <v>#DIV/0!</v>
      </c>
      <c r="AB32" s="159" t="e">
        <f t="shared" ref="AB32:AG32" si="16">D21/D33</f>
        <v>#DIV/0!</v>
      </c>
      <c r="AC32" s="159" t="e">
        <f t="shared" si="16"/>
        <v>#DIV/0!</v>
      </c>
      <c r="AD32" s="159" t="e">
        <f t="shared" si="16"/>
        <v>#DIV/0!</v>
      </c>
      <c r="AE32" s="159" t="e">
        <f t="shared" si="16"/>
        <v>#DIV/0!</v>
      </c>
      <c r="AF32" s="159" t="e">
        <f t="shared" si="16"/>
        <v>#DIV/0!</v>
      </c>
      <c r="AG32" s="159" t="e">
        <f t="shared" si="16"/>
        <v>#DIV/0!</v>
      </c>
      <c r="AH32" s="160" t="e">
        <f ca="1">OFFSET(Z32,,MATCH('KHG JALAJÄLG KOOND'!$Q$45,$AA$22:$AG$22,0))</f>
        <v>#DIV/0!</v>
      </c>
    </row>
    <row r="33" spans="2:34" ht="29.1" customHeight="1" thickBot="1" x14ac:dyDescent="0.3">
      <c r="B33" s="472" t="s">
        <v>182</v>
      </c>
      <c r="C33" s="473">
        <f>SUM(C30:C32)</f>
        <v>0</v>
      </c>
      <c r="D33" s="473">
        <f t="shared" ref="D33:I33" si="17">SUM(D30:D32)</f>
        <v>0</v>
      </c>
      <c r="E33" s="473">
        <f t="shared" si="17"/>
        <v>0</v>
      </c>
      <c r="F33" s="473">
        <f t="shared" si="17"/>
        <v>0</v>
      </c>
      <c r="G33" s="473">
        <f t="shared" si="17"/>
        <v>0</v>
      </c>
      <c r="H33" s="473">
        <f t="shared" si="17"/>
        <v>0</v>
      </c>
      <c r="I33" s="473">
        <f t="shared" si="17"/>
        <v>0</v>
      </c>
      <c r="J33" s="157"/>
      <c r="Y33" s="2"/>
      <c r="Z33" s="21" t="s">
        <v>183</v>
      </c>
      <c r="AA33" s="159" t="e">
        <f>C22/C33</f>
        <v>#DIV/0!</v>
      </c>
      <c r="AB33" s="159" t="e">
        <f t="shared" ref="AB33:AG33" si="18">D22/D33</f>
        <v>#DIV/0!</v>
      </c>
      <c r="AC33" s="159" t="e">
        <f t="shared" si="18"/>
        <v>#DIV/0!</v>
      </c>
      <c r="AD33" s="159" t="e">
        <f t="shared" si="18"/>
        <v>#DIV/0!</v>
      </c>
      <c r="AE33" s="159" t="e">
        <f t="shared" si="18"/>
        <v>#DIV/0!</v>
      </c>
      <c r="AF33" s="159" t="e">
        <f t="shared" si="18"/>
        <v>#DIV/0!</v>
      </c>
      <c r="AG33" s="159" t="e">
        <f t="shared" si="18"/>
        <v>#DIV/0!</v>
      </c>
      <c r="AH33" s="160" t="e">
        <f ca="1">OFFSET(Z33,,MATCH('KHG JALAJÄLG KOOND'!$Q$45,$AA$22:$AG$22,0))</f>
        <v>#DIV/0!</v>
      </c>
    </row>
    <row r="34" spans="2:34" ht="15.75" thickBot="1" x14ac:dyDescent="0.3">
      <c r="B34" s="174"/>
      <c r="I34" s="176"/>
      <c r="Y34" s="160"/>
      <c r="Z34" s="21" t="s">
        <v>184</v>
      </c>
      <c r="AA34" s="160" t="e">
        <f>C23/C33</f>
        <v>#DIV/0!</v>
      </c>
      <c r="AB34" s="160" t="e">
        <f t="shared" ref="AB34:AG34" si="19">D23/D33</f>
        <v>#DIV/0!</v>
      </c>
      <c r="AC34" s="160" t="e">
        <f t="shared" si="19"/>
        <v>#DIV/0!</v>
      </c>
      <c r="AD34" s="160" t="e">
        <f t="shared" si="19"/>
        <v>#DIV/0!</v>
      </c>
      <c r="AE34" s="160" t="e">
        <f t="shared" si="19"/>
        <v>#DIV/0!</v>
      </c>
      <c r="AF34" s="160" t="e">
        <f t="shared" si="19"/>
        <v>#DIV/0!</v>
      </c>
      <c r="AG34" s="160" t="e">
        <f t="shared" si="19"/>
        <v>#DIV/0!</v>
      </c>
      <c r="AH34" s="160" t="e">
        <f ca="1">OFFSET(Z34,,MATCH('KHG JALAJÄLG KOOND'!$Q$45,$AA$22:$AG$22,0))</f>
        <v>#DIV/0!</v>
      </c>
    </row>
    <row r="35" spans="2:34" ht="15.75" thickBot="1" x14ac:dyDescent="0.3">
      <c r="B35" s="474" t="s">
        <v>351</v>
      </c>
      <c r="C35" s="473" t="e">
        <f>C33/b_2022</f>
        <v>#DIV/0!</v>
      </c>
      <c r="D35" s="473" t="e">
        <f>D33/b_2023</f>
        <v>#DIV/0!</v>
      </c>
      <c r="E35" s="473" t="e">
        <f>E33/b_2024</f>
        <v>#DIV/0!</v>
      </c>
      <c r="F35" s="473" t="e">
        <f>F33/b_2025</f>
        <v>#DIV/0!</v>
      </c>
      <c r="G35" s="473" t="e">
        <f>G33/b_2026</f>
        <v>#DIV/0!</v>
      </c>
      <c r="H35" s="473" t="e">
        <f>H33/b_2027</f>
        <v>#DIV/0!</v>
      </c>
      <c r="I35" s="473" t="e">
        <f>I33/b_2028</f>
        <v>#DIV/0!</v>
      </c>
      <c r="Y35" s="2"/>
      <c r="Z35" s="21" t="s">
        <v>185</v>
      </c>
      <c r="AA35" s="160" t="e">
        <f>C24/C33</f>
        <v>#DIV/0!</v>
      </c>
      <c r="AB35" s="160" t="e">
        <f t="shared" ref="AB35:AG35" si="20">D24/D33</f>
        <v>#DIV/0!</v>
      </c>
      <c r="AC35" s="160" t="e">
        <f t="shared" si="20"/>
        <v>#DIV/0!</v>
      </c>
      <c r="AD35" s="160" t="e">
        <f t="shared" si="20"/>
        <v>#DIV/0!</v>
      </c>
      <c r="AE35" s="160" t="e">
        <f t="shared" si="20"/>
        <v>#DIV/0!</v>
      </c>
      <c r="AF35" s="160" t="e">
        <f t="shared" si="20"/>
        <v>#DIV/0!</v>
      </c>
      <c r="AG35" s="160" t="e">
        <f t="shared" si="20"/>
        <v>#DIV/0!</v>
      </c>
      <c r="AH35" s="160" t="e">
        <f ca="1">OFFSET(Z35,,MATCH('KHG JALAJÄLG KOOND'!$Q$45,$AA$22:$AG$22,0))</f>
        <v>#DIV/0!</v>
      </c>
    </row>
    <row r="36" spans="2:34" x14ac:dyDescent="0.25">
      <c r="Y36" s="2"/>
      <c r="Z36" s="21" t="s">
        <v>186</v>
      </c>
      <c r="AA36" s="160" t="e">
        <f>C25/C33</f>
        <v>#DIV/0!</v>
      </c>
      <c r="AB36" s="160" t="e">
        <f t="shared" ref="AB36:AG36" si="21">D25/D33</f>
        <v>#DIV/0!</v>
      </c>
      <c r="AC36" s="160" t="e">
        <f t="shared" si="21"/>
        <v>#DIV/0!</v>
      </c>
      <c r="AD36" s="160" t="e">
        <f t="shared" si="21"/>
        <v>#DIV/0!</v>
      </c>
      <c r="AE36" s="160" t="e">
        <f t="shared" si="21"/>
        <v>#DIV/0!</v>
      </c>
      <c r="AF36" s="160" t="e">
        <f t="shared" si="21"/>
        <v>#DIV/0!</v>
      </c>
      <c r="AG36" s="160" t="e">
        <f t="shared" si="21"/>
        <v>#DIV/0!</v>
      </c>
      <c r="AH36" s="160" t="e">
        <f ca="1">OFFSET(Z36,,MATCH('KHG JALAJÄLG KOOND'!$Q$45,$AA$22:$AG$22,0))</f>
        <v>#DIV/0!</v>
      </c>
    </row>
    <row r="37" spans="2:34" x14ac:dyDescent="0.25">
      <c r="Y37" s="2"/>
      <c r="Z37" s="254" t="s">
        <v>187</v>
      </c>
      <c r="AA37" s="162" t="e">
        <f>SUM(AA30:AA36)</f>
        <v>#DIV/0!</v>
      </c>
      <c r="AB37" s="162" t="e">
        <f t="shared" ref="AB37:AF37" si="22">SUM(AB30:AB36)</f>
        <v>#DIV/0!</v>
      </c>
      <c r="AC37" s="162" t="e">
        <f t="shared" si="22"/>
        <v>#DIV/0!</v>
      </c>
      <c r="AD37" s="162" t="e">
        <f t="shared" si="22"/>
        <v>#DIV/0!</v>
      </c>
      <c r="AE37" s="162" t="e">
        <f t="shared" si="22"/>
        <v>#DIV/0!</v>
      </c>
      <c r="AF37" s="162" t="e">
        <f t="shared" si="22"/>
        <v>#DIV/0!</v>
      </c>
      <c r="AG37" s="162" t="e">
        <f>SUM(AG30:AG36)</f>
        <v>#DIV/0!</v>
      </c>
      <c r="AH37" s="162" t="e">
        <f ca="1">OFFSET(Z37,,MATCH('KHG JALAJÄLG KOOND'!$Q$45,$AA$22:$AG$22,0))</f>
        <v>#DIV/0!</v>
      </c>
    </row>
    <row r="38" spans="2:34" x14ac:dyDescent="0.25">
      <c r="Y38" s="2"/>
      <c r="Z38" s="21" t="s">
        <v>188</v>
      </c>
      <c r="AA38" s="159" t="e">
        <f>AA25+AA29+AA37</f>
        <v>#DIV/0!</v>
      </c>
      <c r="AB38" s="159" t="e">
        <f t="shared" ref="AB38:AG38" si="23">AB25+AB29+AB37</f>
        <v>#DIV/0!</v>
      </c>
      <c r="AC38" s="159" t="e">
        <f t="shared" si="23"/>
        <v>#DIV/0!</v>
      </c>
      <c r="AD38" s="159" t="e">
        <f t="shared" si="23"/>
        <v>#DIV/0!</v>
      </c>
      <c r="AE38" s="159" t="e">
        <f t="shared" si="23"/>
        <v>#DIV/0!</v>
      </c>
      <c r="AF38" s="159" t="e">
        <f t="shared" si="23"/>
        <v>#DIV/0!</v>
      </c>
      <c r="AG38" s="159" t="e">
        <f t="shared" si="23"/>
        <v>#DIV/0!</v>
      </c>
      <c r="AH38" s="2"/>
    </row>
    <row r="44" spans="2:34" ht="15.75" thickBot="1" x14ac:dyDescent="0.3"/>
    <row r="45" spans="2:34" ht="16.5" thickTop="1" thickBot="1" x14ac:dyDescent="0.3">
      <c r="O45" s="681" t="s">
        <v>189</v>
      </c>
      <c r="P45" s="682"/>
      <c r="Q45" s="96">
        <v>2023</v>
      </c>
    </row>
    <row r="46" spans="2:34" ht="15.75" thickTop="1" x14ac:dyDescent="0.25"/>
  </sheetData>
  <mergeCells count="2">
    <mergeCell ref="B3:I3"/>
    <mergeCell ref="O45:P45"/>
  </mergeCells>
  <dataValidations count="1">
    <dataValidation type="list" allowBlank="1" showInputMessage="1" showErrorMessage="1" sqref="Q45" xr:uid="{5FA1E2FE-2AFF-4AE1-B542-83853624FE2C}">
      <formula1>$AA$22:$AG$22</formula1>
    </dataValidation>
  </dataValidations>
  <hyperlinks>
    <hyperlink ref="B3:I3" r:id="rId1" display="https://kliimaministeerium.ee/organisatsioonide-khg-jalajalg" xr:uid="{0510DEC9-C1E6-47ED-A4FE-D7D713A898E8}"/>
  </hyperlinks>
  <pageMargins left="0.70866141732283472" right="0.70866141732283472" top="0.74803149606299213" bottom="0.74803149606299213" header="0.31496062992125984" footer="0.31496062992125984"/>
  <pageSetup paperSize="9" orientation="landscape" r:id="rId2"/>
  <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9560-C03E-40DE-962C-F515CC9638C1}">
  <dimension ref="A1:H1048568"/>
  <sheetViews>
    <sheetView showGridLines="0" zoomScaleNormal="100" workbookViewId="0">
      <pane xSplit="1" ySplit="1" topLeftCell="B351" activePane="bottomRight" state="frozen"/>
      <selection pane="topRight" activeCell="B1" sqref="B1"/>
      <selection pane="bottomLeft" activeCell="A3" sqref="A3"/>
      <selection pane="bottomRight" activeCell="F150" sqref="F150"/>
    </sheetView>
  </sheetViews>
  <sheetFormatPr defaultRowHeight="15" customHeight="1" x14ac:dyDescent="0.25"/>
  <cols>
    <col min="1" max="1" width="2.5703125" customWidth="1"/>
    <col min="2" max="2" width="15" customWidth="1"/>
    <col min="3" max="3" width="61.42578125" customWidth="1"/>
    <col min="4" max="4" width="13.7109375" style="11" customWidth="1"/>
    <col min="5" max="5" width="20" bestFit="1" customWidth="1"/>
    <col min="6" max="6" width="139" customWidth="1"/>
  </cols>
  <sheetData>
    <row r="1" spans="1:6" ht="18.75" customHeight="1" x14ac:dyDescent="0.3">
      <c r="B1" s="26" t="s">
        <v>190</v>
      </c>
    </row>
    <row r="3" spans="1:6" ht="36.6" customHeight="1" x14ac:dyDescent="0.25">
      <c r="B3" s="680" t="s">
        <v>471</v>
      </c>
      <c r="C3" s="657"/>
      <c r="D3" s="657"/>
      <c r="E3" s="657"/>
      <c r="F3" s="658"/>
    </row>
    <row r="4" spans="1:6" ht="15" customHeight="1" x14ac:dyDescent="0.25">
      <c r="C4" s="281"/>
      <c r="D4" s="327"/>
      <c r="E4" s="281"/>
      <c r="F4" s="281"/>
    </row>
    <row r="5" spans="1:6" ht="15" customHeight="1" x14ac:dyDescent="0.25">
      <c r="B5" s="475" t="s">
        <v>191</v>
      </c>
      <c r="C5" s="476"/>
      <c r="E5" s="2"/>
      <c r="F5" s="2"/>
    </row>
    <row r="6" spans="1:6" ht="15" customHeight="1" x14ac:dyDescent="0.25">
      <c r="B6" s="478" t="s">
        <v>192</v>
      </c>
      <c r="C6" s="478" t="s">
        <v>193</v>
      </c>
      <c r="D6" s="479" t="s">
        <v>194</v>
      </c>
      <c r="E6" s="479" t="s">
        <v>195</v>
      </c>
      <c r="F6" s="480" t="s">
        <v>196</v>
      </c>
    </row>
    <row r="7" spans="1:6" ht="15" customHeight="1" x14ac:dyDescent="0.25">
      <c r="B7" s="284">
        <v>2022</v>
      </c>
      <c r="C7" s="283" t="s">
        <v>197</v>
      </c>
      <c r="D7" s="292">
        <v>0.63700000000000001</v>
      </c>
      <c r="E7" s="284" t="s">
        <v>198</v>
      </c>
      <c r="F7" s="286" t="s">
        <v>454</v>
      </c>
    </row>
    <row r="8" spans="1:6" ht="15" customHeight="1" x14ac:dyDescent="0.25">
      <c r="B8" s="284">
        <v>2023</v>
      </c>
      <c r="C8" s="283" t="s">
        <v>197</v>
      </c>
      <c r="D8" s="292">
        <v>0.71518000000000004</v>
      </c>
      <c r="E8" s="284" t="s">
        <v>198</v>
      </c>
      <c r="F8" s="286" t="s">
        <v>199</v>
      </c>
    </row>
    <row r="9" spans="1:6" ht="15" customHeight="1" x14ac:dyDescent="0.25">
      <c r="B9" s="284">
        <v>2024</v>
      </c>
      <c r="C9" s="283" t="s">
        <v>197</v>
      </c>
      <c r="D9" s="292">
        <v>0.71165999999999996</v>
      </c>
      <c r="E9" s="284" t="s">
        <v>198</v>
      </c>
      <c r="F9" s="286" t="s">
        <v>231</v>
      </c>
    </row>
    <row r="10" spans="1:6" ht="15" customHeight="1" x14ac:dyDescent="0.25">
      <c r="B10" s="284">
        <v>2025</v>
      </c>
      <c r="C10" s="283" t="s">
        <v>197</v>
      </c>
      <c r="D10" s="292">
        <v>0.61195999999999995</v>
      </c>
      <c r="E10" s="284" t="s">
        <v>198</v>
      </c>
      <c r="F10" s="286" t="s">
        <v>232</v>
      </c>
    </row>
    <row r="11" spans="1:6" ht="15" customHeight="1" x14ac:dyDescent="0.25">
      <c r="B11" s="284">
        <v>2026</v>
      </c>
      <c r="C11" s="283" t="s">
        <v>197</v>
      </c>
      <c r="D11" s="266"/>
      <c r="E11" s="284" t="s">
        <v>198</v>
      </c>
      <c r="F11" s="286" t="s">
        <v>383</v>
      </c>
    </row>
    <row r="12" spans="1:6" ht="15" customHeight="1" x14ac:dyDescent="0.25">
      <c r="B12" s="284">
        <v>2027</v>
      </c>
      <c r="C12" s="283" t="s">
        <v>197</v>
      </c>
      <c r="D12" s="266"/>
      <c r="E12" s="284" t="s">
        <v>198</v>
      </c>
      <c r="F12" s="286" t="s">
        <v>383</v>
      </c>
    </row>
    <row r="13" spans="1:6" s="62" customFormat="1" ht="15" customHeight="1" x14ac:dyDescent="0.25">
      <c r="A13" s="61"/>
      <c r="B13" s="284">
        <v>2028</v>
      </c>
      <c r="C13" s="283" t="s">
        <v>197</v>
      </c>
      <c r="D13" s="266"/>
      <c r="E13" s="284" t="s">
        <v>198</v>
      </c>
      <c r="F13" s="286" t="s">
        <v>383</v>
      </c>
    </row>
    <row r="14" spans="1:6" ht="15" customHeight="1" x14ac:dyDescent="0.25">
      <c r="B14" s="287"/>
      <c r="C14" s="287"/>
      <c r="E14" s="2"/>
      <c r="F14" s="2"/>
    </row>
    <row r="15" spans="1:6" ht="15" customHeight="1" x14ac:dyDescent="0.25">
      <c r="B15" s="288"/>
      <c r="C15" s="288"/>
      <c r="D15" s="289"/>
      <c r="E15" s="290"/>
      <c r="F15" s="291"/>
    </row>
    <row r="16" spans="1:6" ht="15" customHeight="1" x14ac:dyDescent="0.25">
      <c r="B16" s="475" t="s">
        <v>200</v>
      </c>
      <c r="C16" s="476"/>
      <c r="E16" s="2"/>
      <c r="F16" s="2"/>
    </row>
    <row r="17" spans="2:6" ht="15" customHeight="1" x14ac:dyDescent="0.25">
      <c r="B17" s="478" t="s">
        <v>192</v>
      </c>
      <c r="C17" s="478" t="s">
        <v>201</v>
      </c>
      <c r="D17" s="479" t="s">
        <v>194</v>
      </c>
      <c r="E17" s="479" t="s">
        <v>195</v>
      </c>
      <c r="F17" s="480" t="s">
        <v>196</v>
      </c>
    </row>
    <row r="18" spans="2:6" ht="15" customHeight="1" x14ac:dyDescent="0.25">
      <c r="B18" s="284">
        <v>2022</v>
      </c>
      <c r="C18" s="284" t="s">
        <v>202</v>
      </c>
      <c r="D18" s="292">
        <v>8.7999999999999995E-2</v>
      </c>
      <c r="E18" s="284" t="s">
        <v>203</v>
      </c>
      <c r="F18" s="285" t="s">
        <v>479</v>
      </c>
    </row>
    <row r="19" spans="2:6" ht="15" customHeight="1" x14ac:dyDescent="0.25">
      <c r="B19" s="284">
        <v>2023</v>
      </c>
      <c r="C19" s="284" t="s">
        <v>202</v>
      </c>
      <c r="D19" s="292">
        <v>8.6999999999999994E-2</v>
      </c>
      <c r="E19" s="284" t="s">
        <v>203</v>
      </c>
      <c r="F19" s="285" t="s">
        <v>480</v>
      </c>
    </row>
    <row r="20" spans="2:6" ht="15" customHeight="1" x14ac:dyDescent="0.25">
      <c r="B20" s="284">
        <v>2024</v>
      </c>
      <c r="C20" s="284" t="s">
        <v>202</v>
      </c>
      <c r="D20" s="292">
        <v>8.1000000000000003E-2</v>
      </c>
      <c r="E20" s="284" t="s">
        <v>203</v>
      </c>
      <c r="F20" s="285" t="s">
        <v>481</v>
      </c>
    </row>
    <row r="21" spans="2:6" ht="15" customHeight="1" x14ac:dyDescent="0.25">
      <c r="B21" s="284">
        <v>2025</v>
      </c>
      <c r="C21" s="284" t="s">
        <v>202</v>
      </c>
      <c r="D21" s="292">
        <v>7.2999999999999995E-2</v>
      </c>
      <c r="E21" s="284" t="s">
        <v>476</v>
      </c>
      <c r="F21" s="285" t="s">
        <v>482</v>
      </c>
    </row>
    <row r="22" spans="2:6" ht="15" customHeight="1" x14ac:dyDescent="0.25">
      <c r="B22" s="284">
        <v>2026</v>
      </c>
      <c r="C22" s="284" t="s">
        <v>202</v>
      </c>
      <c r="D22" s="292"/>
      <c r="E22" s="284" t="s">
        <v>203</v>
      </c>
      <c r="F22" s="285" t="s">
        <v>204</v>
      </c>
    </row>
    <row r="23" spans="2:6" ht="15" customHeight="1" x14ac:dyDescent="0.25">
      <c r="B23" s="284">
        <v>2027</v>
      </c>
      <c r="C23" s="284" t="s">
        <v>202</v>
      </c>
      <c r="D23" s="292"/>
      <c r="E23" s="284" t="s">
        <v>203</v>
      </c>
      <c r="F23" s="285" t="s">
        <v>204</v>
      </c>
    </row>
    <row r="24" spans="2:6" ht="15" customHeight="1" x14ac:dyDescent="0.25">
      <c r="B24" s="284">
        <v>2028</v>
      </c>
      <c r="C24" s="284" t="s">
        <v>202</v>
      </c>
      <c r="D24" s="292"/>
      <c r="E24" s="284" t="s">
        <v>203</v>
      </c>
      <c r="F24" s="285" t="s">
        <v>204</v>
      </c>
    </row>
    <row r="25" spans="2:6" ht="15" customHeight="1" x14ac:dyDescent="0.25">
      <c r="B25" s="291"/>
      <c r="C25" s="291"/>
      <c r="E25" s="2"/>
      <c r="F25" s="2"/>
    </row>
    <row r="26" spans="2:6" ht="15" customHeight="1" x14ac:dyDescent="0.25">
      <c r="B26" s="478" t="s">
        <v>192</v>
      </c>
      <c r="C26" s="478" t="s">
        <v>205</v>
      </c>
      <c r="D26" s="479" t="s">
        <v>194</v>
      </c>
      <c r="E26" s="479" t="s">
        <v>195</v>
      </c>
      <c r="F26" s="480" t="s">
        <v>196</v>
      </c>
    </row>
    <row r="27" spans="2:6" ht="15" customHeight="1" x14ac:dyDescent="0.25">
      <c r="B27" s="282">
        <v>2022</v>
      </c>
      <c r="C27" s="282" t="s">
        <v>206</v>
      </c>
      <c r="D27" s="293">
        <v>5.7000000000000002E-2</v>
      </c>
      <c r="E27" s="285" t="s">
        <v>198</v>
      </c>
      <c r="F27" s="285" t="s">
        <v>483</v>
      </c>
    </row>
    <row r="28" spans="2:6" ht="15" customHeight="1" x14ac:dyDescent="0.25">
      <c r="B28" s="175">
        <v>2023</v>
      </c>
      <c r="C28" s="282" t="s">
        <v>206</v>
      </c>
      <c r="D28" s="293">
        <v>0.03</v>
      </c>
      <c r="E28" s="285" t="s">
        <v>198</v>
      </c>
      <c r="F28" s="285" t="s">
        <v>484</v>
      </c>
    </row>
    <row r="29" spans="2:6" ht="15" customHeight="1" x14ac:dyDescent="0.25">
      <c r="B29" s="282">
        <v>2024</v>
      </c>
      <c r="C29" s="282" t="s">
        <v>206</v>
      </c>
      <c r="D29" s="293">
        <v>2.1999999999999999E-2</v>
      </c>
      <c r="E29" s="285" t="s">
        <v>198</v>
      </c>
      <c r="F29" s="285" t="s">
        <v>485</v>
      </c>
    </row>
    <row r="30" spans="2:6" ht="15" customHeight="1" x14ac:dyDescent="0.25">
      <c r="B30" s="175">
        <v>2025</v>
      </c>
      <c r="C30" s="282" t="s">
        <v>206</v>
      </c>
      <c r="D30" s="293">
        <v>3.4000000000000002E-2</v>
      </c>
      <c r="E30" s="525" t="s">
        <v>478</v>
      </c>
      <c r="F30" s="285" t="s">
        <v>486</v>
      </c>
    </row>
    <row r="31" spans="2:6" ht="15" customHeight="1" x14ac:dyDescent="0.25">
      <c r="B31" s="282">
        <v>2026</v>
      </c>
      <c r="C31" s="282" t="s">
        <v>206</v>
      </c>
      <c r="D31" s="293"/>
      <c r="E31" s="285" t="s">
        <v>198</v>
      </c>
      <c r="F31" s="286" t="s">
        <v>207</v>
      </c>
    </row>
    <row r="32" spans="2:6" ht="15" customHeight="1" x14ac:dyDescent="0.25">
      <c r="B32" s="175">
        <v>2027</v>
      </c>
      <c r="C32" s="282" t="s">
        <v>206</v>
      </c>
      <c r="D32" s="293"/>
      <c r="E32" s="285" t="s">
        <v>198</v>
      </c>
      <c r="F32" s="286" t="s">
        <v>207</v>
      </c>
    </row>
    <row r="33" spans="2:6" ht="15" customHeight="1" x14ac:dyDescent="0.25">
      <c r="B33" s="282">
        <v>2028</v>
      </c>
      <c r="C33" s="282" t="s">
        <v>206</v>
      </c>
      <c r="D33" s="293"/>
      <c r="E33" s="285" t="s">
        <v>198</v>
      </c>
      <c r="F33" s="286" t="s">
        <v>207</v>
      </c>
    </row>
    <row r="34" spans="2:6" ht="15" customHeight="1" x14ac:dyDescent="0.25">
      <c r="B34" s="2"/>
      <c r="C34" s="2"/>
      <c r="E34" s="2"/>
      <c r="F34" s="2"/>
    </row>
    <row r="35" spans="2:6" ht="15" customHeight="1" x14ac:dyDescent="0.25">
      <c r="B35" s="478" t="s">
        <v>192</v>
      </c>
      <c r="C35" s="478" t="s">
        <v>208</v>
      </c>
      <c r="D35" s="479" t="s">
        <v>194</v>
      </c>
      <c r="E35" s="479" t="s">
        <v>195</v>
      </c>
      <c r="F35" s="480" t="s">
        <v>196</v>
      </c>
    </row>
    <row r="36" spans="2:6" ht="15" customHeight="1" x14ac:dyDescent="0.25">
      <c r="B36" s="282">
        <v>2022</v>
      </c>
      <c r="C36" s="282" t="s">
        <v>209</v>
      </c>
      <c r="D36" s="293">
        <v>0.03</v>
      </c>
      <c r="E36" s="285" t="s">
        <v>198</v>
      </c>
      <c r="F36" s="285" t="s">
        <v>483</v>
      </c>
    </row>
    <row r="37" spans="2:6" ht="15" customHeight="1" x14ac:dyDescent="0.25">
      <c r="B37" s="175">
        <v>2023</v>
      </c>
      <c r="C37" s="282" t="s">
        <v>209</v>
      </c>
      <c r="D37" s="293">
        <v>1.9E-2</v>
      </c>
      <c r="E37" s="285" t="s">
        <v>198</v>
      </c>
      <c r="F37" s="285" t="s">
        <v>484</v>
      </c>
    </row>
    <row r="38" spans="2:6" ht="15" customHeight="1" x14ac:dyDescent="0.25">
      <c r="B38" s="282">
        <v>2024</v>
      </c>
      <c r="C38" s="282" t="s">
        <v>209</v>
      </c>
      <c r="D38" s="293">
        <v>1.093E-2</v>
      </c>
      <c r="E38" s="285" t="s">
        <v>198</v>
      </c>
      <c r="F38" s="285" t="s">
        <v>485</v>
      </c>
    </row>
    <row r="39" spans="2:6" ht="15" customHeight="1" x14ac:dyDescent="0.25">
      <c r="B39" s="175">
        <v>2025</v>
      </c>
      <c r="C39" s="282" t="s">
        <v>209</v>
      </c>
      <c r="D39" s="293">
        <v>8.0000000000000002E-3</v>
      </c>
      <c r="E39" s="285" t="s">
        <v>477</v>
      </c>
      <c r="F39" s="286" t="s">
        <v>486</v>
      </c>
    </row>
    <row r="40" spans="2:6" ht="15" customHeight="1" x14ac:dyDescent="0.25">
      <c r="B40" s="282">
        <v>2026</v>
      </c>
      <c r="C40" s="282" t="s">
        <v>209</v>
      </c>
      <c r="D40" s="293"/>
      <c r="E40" s="285" t="s">
        <v>198</v>
      </c>
      <c r="F40" s="286" t="s">
        <v>207</v>
      </c>
    </row>
    <row r="41" spans="2:6" ht="15" customHeight="1" x14ac:dyDescent="0.25">
      <c r="B41" s="175">
        <v>2027</v>
      </c>
      <c r="C41" s="282" t="s">
        <v>209</v>
      </c>
      <c r="D41" s="293"/>
      <c r="E41" s="285" t="s">
        <v>198</v>
      </c>
      <c r="F41" s="286" t="s">
        <v>207</v>
      </c>
    </row>
    <row r="42" spans="2:6" ht="15" customHeight="1" x14ac:dyDescent="0.25">
      <c r="B42" s="282">
        <v>2028</v>
      </c>
      <c r="C42" s="282" t="s">
        <v>209</v>
      </c>
      <c r="D42" s="293"/>
      <c r="E42" s="285" t="s">
        <v>198</v>
      </c>
      <c r="F42" s="286" t="s">
        <v>207</v>
      </c>
    </row>
    <row r="43" spans="2:6" ht="15" customHeight="1" x14ac:dyDescent="0.25">
      <c r="B43" s="2"/>
      <c r="C43" s="2"/>
      <c r="E43" s="2"/>
      <c r="F43" s="2"/>
    </row>
    <row r="44" spans="2:6" ht="15" customHeight="1" x14ac:dyDescent="0.25">
      <c r="B44" s="478" t="s">
        <v>192</v>
      </c>
      <c r="C44" s="478" t="s">
        <v>210</v>
      </c>
      <c r="D44" s="479" t="s">
        <v>194</v>
      </c>
      <c r="E44" s="481" t="s">
        <v>195</v>
      </c>
      <c r="F44" s="480" t="s">
        <v>524</v>
      </c>
    </row>
    <row r="45" spans="2:6" ht="15" customHeight="1" x14ac:dyDescent="0.25">
      <c r="B45" s="284">
        <v>2022</v>
      </c>
      <c r="C45" s="284" t="s">
        <v>211</v>
      </c>
      <c r="D45" s="294">
        <v>2.8146399647099602E-4</v>
      </c>
      <c r="E45" s="284" t="s">
        <v>203</v>
      </c>
      <c r="F45" s="285" t="s">
        <v>455</v>
      </c>
    </row>
    <row r="46" spans="2:6" ht="15" customHeight="1" x14ac:dyDescent="0.25">
      <c r="B46" s="284">
        <v>2023</v>
      </c>
      <c r="C46" s="284" t="s">
        <v>211</v>
      </c>
      <c r="D46" s="294">
        <v>2.5704079089388119E-4</v>
      </c>
      <c r="E46" s="284" t="s">
        <v>203</v>
      </c>
      <c r="F46" s="285" t="s">
        <v>387</v>
      </c>
    </row>
    <row r="47" spans="2:6" ht="15" customHeight="1" x14ac:dyDescent="0.25">
      <c r="B47" s="284">
        <v>2024</v>
      </c>
      <c r="C47" s="284" t="s">
        <v>211</v>
      </c>
      <c r="D47" s="294">
        <v>2.5704079089388119E-4</v>
      </c>
      <c r="E47" s="284" t="s">
        <v>203</v>
      </c>
      <c r="F47" s="285" t="s">
        <v>385</v>
      </c>
    </row>
    <row r="48" spans="2:6" ht="15" customHeight="1" x14ac:dyDescent="0.25">
      <c r="B48" s="284">
        <v>2025</v>
      </c>
      <c r="C48" s="284" t="s">
        <v>211</v>
      </c>
      <c r="D48" s="294">
        <v>2.5704079089388076E-4</v>
      </c>
      <c r="E48" s="284" t="s">
        <v>203</v>
      </c>
      <c r="F48" s="285" t="s">
        <v>510</v>
      </c>
    </row>
    <row r="49" spans="1:8" ht="15" customHeight="1" x14ac:dyDescent="0.25">
      <c r="B49" s="284">
        <v>2026</v>
      </c>
      <c r="C49" s="284" t="s">
        <v>211</v>
      </c>
      <c r="D49" s="266"/>
      <c r="E49" s="284" t="s">
        <v>203</v>
      </c>
      <c r="F49" s="285" t="s">
        <v>389</v>
      </c>
    </row>
    <row r="50" spans="1:8" ht="15" customHeight="1" x14ac:dyDescent="0.25">
      <c r="B50" s="284">
        <v>2027</v>
      </c>
      <c r="C50" s="284" t="s">
        <v>211</v>
      </c>
      <c r="D50" s="266"/>
      <c r="E50" s="284" t="s">
        <v>203</v>
      </c>
      <c r="F50" s="285" t="s">
        <v>390</v>
      </c>
    </row>
    <row r="51" spans="1:8" s="62" customFormat="1" ht="15" customHeight="1" x14ac:dyDescent="0.25">
      <c r="A51" s="61"/>
      <c r="B51" s="284">
        <v>2028</v>
      </c>
      <c r="C51" s="284" t="s">
        <v>211</v>
      </c>
      <c r="D51" s="328"/>
      <c r="E51" s="284" t="s">
        <v>203</v>
      </c>
      <c r="F51" s="285" t="s">
        <v>386</v>
      </c>
      <c r="G51" s="127"/>
      <c r="H51" s="127"/>
    </row>
    <row r="52" spans="1:8" ht="15" customHeight="1" x14ac:dyDescent="0.25">
      <c r="B52" s="284">
        <v>2022</v>
      </c>
      <c r="C52" s="282" t="s">
        <v>212</v>
      </c>
      <c r="D52" s="292">
        <v>0.42696158853270066</v>
      </c>
      <c r="E52" s="284" t="s">
        <v>203</v>
      </c>
      <c r="F52" s="285" t="s">
        <v>455</v>
      </c>
    </row>
    <row r="53" spans="1:8" ht="15" customHeight="1" x14ac:dyDescent="0.25">
      <c r="B53" s="284">
        <v>2023</v>
      </c>
      <c r="C53" s="284" t="s">
        <v>212</v>
      </c>
      <c r="D53" s="292">
        <v>0.47999087624079784</v>
      </c>
      <c r="E53" s="284" t="s">
        <v>203</v>
      </c>
      <c r="F53" s="285" t="s">
        <v>387</v>
      </c>
    </row>
    <row r="54" spans="1:8" ht="15" customHeight="1" x14ac:dyDescent="0.25">
      <c r="B54" s="284">
        <v>2024</v>
      </c>
      <c r="C54" s="284" t="s">
        <v>212</v>
      </c>
      <c r="D54" s="292">
        <v>0.47999087624079784</v>
      </c>
      <c r="E54" s="284" t="s">
        <v>203</v>
      </c>
      <c r="F54" s="285" t="s">
        <v>385</v>
      </c>
    </row>
    <row r="55" spans="1:8" ht="15" customHeight="1" x14ac:dyDescent="0.25">
      <c r="B55" s="284">
        <v>2025</v>
      </c>
      <c r="C55" s="284" t="s">
        <v>212</v>
      </c>
      <c r="D55" s="292">
        <v>0.47999087624079784</v>
      </c>
      <c r="E55" s="284" t="s">
        <v>203</v>
      </c>
      <c r="F55" s="285" t="s">
        <v>510</v>
      </c>
    </row>
    <row r="56" spans="1:8" ht="15" customHeight="1" x14ac:dyDescent="0.25">
      <c r="B56" s="284">
        <v>2026</v>
      </c>
      <c r="C56" s="284" t="s">
        <v>212</v>
      </c>
      <c r="D56" s="266"/>
      <c r="E56" s="284" t="s">
        <v>203</v>
      </c>
      <c r="F56" s="285" t="s">
        <v>389</v>
      </c>
    </row>
    <row r="57" spans="1:8" ht="15" customHeight="1" x14ac:dyDescent="0.25">
      <c r="B57" s="284">
        <v>2027</v>
      </c>
      <c r="C57" s="284" t="s">
        <v>212</v>
      </c>
      <c r="D57" s="266"/>
      <c r="E57" s="284" t="s">
        <v>203</v>
      </c>
      <c r="F57" s="285" t="s">
        <v>390</v>
      </c>
    </row>
    <row r="58" spans="1:8" ht="15" customHeight="1" x14ac:dyDescent="0.25">
      <c r="B58" s="284">
        <v>2028</v>
      </c>
      <c r="C58" s="284" t="s">
        <v>212</v>
      </c>
      <c r="D58" s="266"/>
      <c r="E58" s="284" t="s">
        <v>203</v>
      </c>
      <c r="F58" s="285" t="s">
        <v>386</v>
      </c>
    </row>
    <row r="59" spans="1:8" ht="15" customHeight="1" x14ac:dyDescent="0.25">
      <c r="B59" s="284">
        <v>2022</v>
      </c>
      <c r="C59" s="285" t="s">
        <v>440</v>
      </c>
      <c r="D59" s="292">
        <v>0.29693319546890901</v>
      </c>
      <c r="E59" s="284" t="s">
        <v>203</v>
      </c>
      <c r="F59" s="285" t="s">
        <v>455</v>
      </c>
    </row>
    <row r="60" spans="1:8" ht="15" customHeight="1" x14ac:dyDescent="0.25">
      <c r="B60" s="284">
        <v>2023</v>
      </c>
      <c r="C60" s="285" t="s">
        <v>440</v>
      </c>
      <c r="D60" s="292">
        <v>0.29605449911698789</v>
      </c>
      <c r="E60" s="284" t="s">
        <v>203</v>
      </c>
      <c r="F60" s="285" t="s">
        <v>387</v>
      </c>
    </row>
    <row r="61" spans="1:8" ht="15" customHeight="1" x14ac:dyDescent="0.25">
      <c r="B61" s="284">
        <v>2024</v>
      </c>
      <c r="C61" s="285" t="s">
        <v>440</v>
      </c>
      <c r="D61" s="292">
        <v>0.29605449911698789</v>
      </c>
      <c r="E61" s="284" t="s">
        <v>203</v>
      </c>
      <c r="F61" s="285" t="s">
        <v>385</v>
      </c>
    </row>
    <row r="62" spans="1:8" ht="15" customHeight="1" x14ac:dyDescent="0.25">
      <c r="B62" s="284">
        <v>2025</v>
      </c>
      <c r="C62" s="285" t="s">
        <v>440</v>
      </c>
      <c r="D62" s="292">
        <v>0.29616411306730711</v>
      </c>
      <c r="E62" s="284" t="s">
        <v>203</v>
      </c>
      <c r="F62" s="285" t="s">
        <v>510</v>
      </c>
    </row>
    <row r="63" spans="1:8" ht="15" customHeight="1" x14ac:dyDescent="0.25">
      <c r="B63" s="284">
        <v>2026</v>
      </c>
      <c r="C63" s="285" t="s">
        <v>440</v>
      </c>
      <c r="D63" s="266"/>
      <c r="E63" s="284" t="s">
        <v>203</v>
      </c>
      <c r="F63" s="285" t="s">
        <v>389</v>
      </c>
    </row>
    <row r="64" spans="1:8" ht="15" customHeight="1" x14ac:dyDescent="0.25">
      <c r="B64" s="284">
        <v>2027</v>
      </c>
      <c r="C64" s="285" t="s">
        <v>440</v>
      </c>
      <c r="D64" s="266"/>
      <c r="E64" s="284" t="s">
        <v>203</v>
      </c>
      <c r="F64" s="285" t="s">
        <v>390</v>
      </c>
    </row>
    <row r="65" spans="1:8" ht="15" customHeight="1" x14ac:dyDescent="0.25">
      <c r="B65" s="284">
        <v>2028</v>
      </c>
      <c r="C65" s="285" t="s">
        <v>440</v>
      </c>
      <c r="D65" s="266"/>
      <c r="E65" s="284" t="s">
        <v>203</v>
      </c>
      <c r="F65" s="285" t="s">
        <v>386</v>
      </c>
    </row>
    <row r="66" spans="1:8" ht="15" customHeight="1" x14ac:dyDescent="0.25">
      <c r="B66" s="284">
        <v>2022</v>
      </c>
      <c r="C66" s="284" t="s">
        <v>214</v>
      </c>
      <c r="D66" s="292">
        <v>0.221169256516248</v>
      </c>
      <c r="E66" s="284" t="s">
        <v>203</v>
      </c>
      <c r="F66" s="285" t="s">
        <v>455</v>
      </c>
    </row>
    <row r="67" spans="1:8" ht="15" customHeight="1" x14ac:dyDescent="0.25">
      <c r="B67" s="284">
        <v>2023</v>
      </c>
      <c r="C67" s="284" t="s">
        <v>214</v>
      </c>
      <c r="D67" s="292">
        <v>0.22115352466220675</v>
      </c>
      <c r="E67" s="284" t="s">
        <v>203</v>
      </c>
      <c r="F67" s="285" t="s">
        <v>387</v>
      </c>
    </row>
    <row r="68" spans="1:8" ht="15" customHeight="1" x14ac:dyDescent="0.25">
      <c r="B68" s="284">
        <v>2024</v>
      </c>
      <c r="C68" s="284" t="s">
        <v>214</v>
      </c>
      <c r="D68" s="292">
        <v>0.22115352466220675</v>
      </c>
      <c r="E68" s="284" t="s">
        <v>203</v>
      </c>
      <c r="F68" s="285" t="s">
        <v>385</v>
      </c>
    </row>
    <row r="69" spans="1:8" ht="15" customHeight="1" x14ac:dyDescent="0.25">
      <c r="B69" s="284">
        <v>2025</v>
      </c>
      <c r="C69" s="284" t="s">
        <v>214</v>
      </c>
      <c r="D69" s="292">
        <v>0.2162305750653899</v>
      </c>
      <c r="E69" s="284" t="s">
        <v>203</v>
      </c>
      <c r="F69" s="285" t="s">
        <v>510</v>
      </c>
    </row>
    <row r="70" spans="1:8" ht="15" customHeight="1" x14ac:dyDescent="0.25">
      <c r="B70" s="284">
        <v>2026</v>
      </c>
      <c r="C70" s="284" t="s">
        <v>214</v>
      </c>
      <c r="D70" s="266"/>
      <c r="E70" s="284" t="s">
        <v>203</v>
      </c>
      <c r="F70" s="285" t="s">
        <v>389</v>
      </c>
    </row>
    <row r="71" spans="1:8" ht="15" customHeight="1" x14ac:dyDescent="0.25">
      <c r="B71" s="284">
        <v>2027</v>
      </c>
      <c r="C71" s="284" t="s">
        <v>214</v>
      </c>
      <c r="D71" s="266"/>
      <c r="E71" s="284" t="s">
        <v>203</v>
      </c>
      <c r="F71" s="285" t="s">
        <v>390</v>
      </c>
    </row>
    <row r="72" spans="1:8" ht="15" customHeight="1" x14ac:dyDescent="0.25">
      <c r="B72" s="284">
        <v>2028</v>
      </c>
      <c r="C72" s="284" t="s">
        <v>214</v>
      </c>
      <c r="D72" s="266"/>
      <c r="E72" s="284" t="s">
        <v>203</v>
      </c>
      <c r="F72" s="285" t="s">
        <v>386</v>
      </c>
    </row>
    <row r="73" spans="1:8" ht="15" customHeight="1" x14ac:dyDescent="0.25">
      <c r="B73" s="284">
        <v>2022</v>
      </c>
      <c r="C73" s="285" t="s">
        <v>441</v>
      </c>
      <c r="D73" s="292">
        <v>0.30967320468878201</v>
      </c>
      <c r="E73" s="284" t="s">
        <v>203</v>
      </c>
      <c r="F73" s="285" t="s">
        <v>455</v>
      </c>
    </row>
    <row r="74" spans="1:8" s="133" customFormat="1" ht="15" customHeight="1" x14ac:dyDescent="0.25">
      <c r="A74" s="61"/>
      <c r="B74" s="284">
        <v>2023</v>
      </c>
      <c r="C74" s="285" t="s">
        <v>441</v>
      </c>
      <c r="D74" s="292">
        <v>0.3096504093399467</v>
      </c>
      <c r="E74" s="284" t="s">
        <v>203</v>
      </c>
      <c r="F74" s="285" t="s">
        <v>387</v>
      </c>
      <c r="G74" s="62"/>
      <c r="H74" s="62"/>
    </row>
    <row r="75" spans="1:8" ht="15" customHeight="1" x14ac:dyDescent="0.25">
      <c r="B75" s="284">
        <v>2024</v>
      </c>
      <c r="C75" s="285" t="s">
        <v>441</v>
      </c>
      <c r="D75" s="292">
        <v>0.3096504093399467</v>
      </c>
      <c r="E75" s="284" t="s">
        <v>203</v>
      </c>
      <c r="F75" s="285" t="s">
        <v>385</v>
      </c>
      <c r="H75" s="16"/>
    </row>
    <row r="76" spans="1:8" ht="15" customHeight="1" x14ac:dyDescent="0.25">
      <c r="B76" s="284">
        <v>2025</v>
      </c>
      <c r="C76" s="285" t="s">
        <v>441</v>
      </c>
      <c r="D76" s="292">
        <v>0.3096504093399467</v>
      </c>
      <c r="E76" s="284" t="s">
        <v>203</v>
      </c>
      <c r="F76" s="285" t="s">
        <v>510</v>
      </c>
      <c r="H76" s="16"/>
    </row>
    <row r="77" spans="1:8" ht="15" customHeight="1" x14ac:dyDescent="0.25">
      <c r="B77" s="284">
        <v>2026</v>
      </c>
      <c r="C77" s="285" t="s">
        <v>441</v>
      </c>
      <c r="D77" s="266"/>
      <c r="E77" s="284" t="s">
        <v>203</v>
      </c>
      <c r="F77" s="285" t="s">
        <v>389</v>
      </c>
    </row>
    <row r="78" spans="1:8" ht="15" customHeight="1" x14ac:dyDescent="0.25">
      <c r="B78" s="284">
        <v>2027</v>
      </c>
      <c r="C78" s="285" t="s">
        <v>441</v>
      </c>
      <c r="D78" s="266"/>
      <c r="E78" s="284" t="s">
        <v>203</v>
      </c>
      <c r="F78" s="285" t="s">
        <v>390</v>
      </c>
    </row>
    <row r="79" spans="1:8" ht="15" customHeight="1" x14ac:dyDescent="0.25">
      <c r="B79" s="284">
        <v>2028</v>
      </c>
      <c r="C79" s="285" t="s">
        <v>441</v>
      </c>
      <c r="D79" s="266"/>
      <c r="E79" s="284" t="s">
        <v>203</v>
      </c>
      <c r="F79" s="285" t="s">
        <v>386</v>
      </c>
    </row>
    <row r="82" spans="2:6" ht="15" customHeight="1" x14ac:dyDescent="0.25">
      <c r="B82" s="475" t="s">
        <v>216</v>
      </c>
      <c r="C82" s="476"/>
      <c r="E82" s="2"/>
      <c r="F82" s="2"/>
    </row>
    <row r="83" spans="2:6" ht="15" customHeight="1" x14ac:dyDescent="0.25">
      <c r="B83" s="478" t="s">
        <v>192</v>
      </c>
      <c r="C83" s="478" t="s">
        <v>217</v>
      </c>
      <c r="D83" s="479" t="s">
        <v>194</v>
      </c>
      <c r="E83" s="479" t="s">
        <v>195</v>
      </c>
      <c r="F83" s="482" t="s">
        <v>196</v>
      </c>
    </row>
    <row r="84" spans="2:6" ht="15" customHeight="1" x14ac:dyDescent="0.25">
      <c r="B84" s="284">
        <v>2022</v>
      </c>
      <c r="C84" s="295" t="s">
        <v>218</v>
      </c>
      <c r="D84" s="292">
        <v>2.2584163556740515</v>
      </c>
      <c r="E84" s="284" t="s">
        <v>220</v>
      </c>
      <c r="F84" s="285" t="s">
        <v>456</v>
      </c>
    </row>
    <row r="85" spans="2:6" ht="15" customHeight="1" x14ac:dyDescent="0.25">
      <c r="B85" s="284">
        <v>2023</v>
      </c>
      <c r="C85" s="295" t="s">
        <v>218</v>
      </c>
      <c r="D85" s="292">
        <v>2.2461381534585034</v>
      </c>
      <c r="E85" s="284" t="s">
        <v>220</v>
      </c>
      <c r="F85" s="285" t="s">
        <v>392</v>
      </c>
    </row>
    <row r="86" spans="2:6" ht="15" customHeight="1" x14ac:dyDescent="0.25">
      <c r="B86" s="284">
        <v>2024</v>
      </c>
      <c r="C86" s="295" t="s">
        <v>218</v>
      </c>
      <c r="D86" s="292">
        <v>2.2539486753055447</v>
      </c>
      <c r="E86" s="284" t="s">
        <v>220</v>
      </c>
      <c r="F86" s="285" t="s">
        <v>442</v>
      </c>
    </row>
    <row r="87" spans="2:6" ht="15" customHeight="1" x14ac:dyDescent="0.25">
      <c r="B87" s="284">
        <v>2025</v>
      </c>
      <c r="C87" s="295" t="s">
        <v>218</v>
      </c>
      <c r="D87" s="292">
        <v>2.2477127389274094</v>
      </c>
      <c r="E87" s="284" t="s">
        <v>511</v>
      </c>
      <c r="F87" s="285" t="s">
        <v>512</v>
      </c>
    </row>
    <row r="88" spans="2:6" ht="15" customHeight="1" x14ac:dyDescent="0.25">
      <c r="B88" s="284">
        <v>2026</v>
      </c>
      <c r="C88" s="295" t="s">
        <v>218</v>
      </c>
      <c r="D88" s="266"/>
      <c r="E88" s="284" t="s">
        <v>220</v>
      </c>
      <c r="F88" s="285" t="s">
        <v>389</v>
      </c>
    </row>
    <row r="89" spans="2:6" ht="15" customHeight="1" x14ac:dyDescent="0.25">
      <c r="B89" s="284">
        <v>2027</v>
      </c>
      <c r="C89" s="295" t="s">
        <v>218</v>
      </c>
      <c r="D89" s="266"/>
      <c r="E89" s="284" t="s">
        <v>220</v>
      </c>
      <c r="F89" s="285" t="s">
        <v>390</v>
      </c>
    </row>
    <row r="90" spans="2:6" ht="15" customHeight="1" x14ac:dyDescent="0.25">
      <c r="B90" s="284">
        <v>2028</v>
      </c>
      <c r="C90" s="295" t="s">
        <v>218</v>
      </c>
      <c r="D90" s="266"/>
      <c r="E90" s="284" t="s">
        <v>220</v>
      </c>
      <c r="F90" s="285" t="s">
        <v>386</v>
      </c>
    </row>
    <row r="91" spans="2:6" ht="15" customHeight="1" x14ac:dyDescent="0.25">
      <c r="B91" s="284">
        <v>2022</v>
      </c>
      <c r="C91" s="295" t="s">
        <v>219</v>
      </c>
      <c r="D91" s="292">
        <v>2.25884374011761</v>
      </c>
      <c r="E91" s="285" t="s">
        <v>220</v>
      </c>
      <c r="F91" s="285" t="s">
        <v>456</v>
      </c>
    </row>
    <row r="92" spans="2:6" ht="15" customHeight="1" x14ac:dyDescent="0.25">
      <c r="B92" s="284">
        <v>2023</v>
      </c>
      <c r="C92" s="295" t="s">
        <v>219</v>
      </c>
      <c r="D92" s="292">
        <v>2.2463205156380472</v>
      </c>
      <c r="E92" s="285" t="s">
        <v>220</v>
      </c>
      <c r="F92" s="285" t="s">
        <v>392</v>
      </c>
    </row>
    <row r="93" spans="2:6" ht="15" customHeight="1" x14ac:dyDescent="0.25">
      <c r="B93" s="284">
        <v>2024</v>
      </c>
      <c r="C93" s="295" t="s">
        <v>219</v>
      </c>
      <c r="D93" s="292">
        <v>2.2549568873893024</v>
      </c>
      <c r="E93" s="285" t="s">
        <v>220</v>
      </c>
      <c r="F93" s="285" t="s">
        <v>442</v>
      </c>
    </row>
    <row r="94" spans="2:6" ht="15" customHeight="1" x14ac:dyDescent="0.25">
      <c r="B94" s="284">
        <v>2025</v>
      </c>
      <c r="C94" s="295" t="s">
        <v>219</v>
      </c>
      <c r="D94" s="292">
        <v>2.2490503144625804</v>
      </c>
      <c r="E94" s="285" t="s">
        <v>511</v>
      </c>
      <c r="F94" s="285" t="s">
        <v>512</v>
      </c>
    </row>
    <row r="95" spans="2:6" ht="15" customHeight="1" x14ac:dyDescent="0.25">
      <c r="B95" s="284">
        <v>2026</v>
      </c>
      <c r="C95" s="295" t="s">
        <v>219</v>
      </c>
      <c r="D95" s="266"/>
      <c r="E95" s="285" t="s">
        <v>220</v>
      </c>
      <c r="F95" s="285" t="s">
        <v>389</v>
      </c>
    </row>
    <row r="96" spans="2:6" ht="15" customHeight="1" x14ac:dyDescent="0.25">
      <c r="B96" s="284">
        <v>2027</v>
      </c>
      <c r="C96" s="295" t="s">
        <v>219</v>
      </c>
      <c r="D96" s="266"/>
      <c r="E96" s="285" t="s">
        <v>220</v>
      </c>
      <c r="F96" s="285" t="s">
        <v>390</v>
      </c>
    </row>
    <row r="97" spans="2:6" ht="15" customHeight="1" x14ac:dyDescent="0.25">
      <c r="B97" s="284">
        <v>2028</v>
      </c>
      <c r="C97" s="295" t="s">
        <v>219</v>
      </c>
      <c r="D97" s="266"/>
      <c r="E97" s="285" t="s">
        <v>220</v>
      </c>
      <c r="F97" s="285" t="s">
        <v>386</v>
      </c>
    </row>
    <row r="98" spans="2:6" ht="15" customHeight="1" x14ac:dyDescent="0.25">
      <c r="B98" s="284">
        <v>2022</v>
      </c>
      <c r="C98" s="295" t="s">
        <v>221</v>
      </c>
      <c r="D98" s="292">
        <v>1.369294808464085E-2</v>
      </c>
      <c r="E98" s="285" t="s">
        <v>222</v>
      </c>
      <c r="F98" s="285" t="s">
        <v>457</v>
      </c>
    </row>
    <row r="99" spans="2:6" ht="15" customHeight="1" x14ac:dyDescent="0.25">
      <c r="B99" s="284">
        <v>2023</v>
      </c>
      <c r="C99" s="295" t="s">
        <v>221</v>
      </c>
      <c r="D99" s="292">
        <v>1.9015006350664311E-2</v>
      </c>
      <c r="E99" s="285" t="s">
        <v>222</v>
      </c>
      <c r="F99" s="285" t="s">
        <v>393</v>
      </c>
    </row>
    <row r="100" spans="2:6" ht="15" customHeight="1" x14ac:dyDescent="0.25">
      <c r="B100" s="284">
        <v>2024</v>
      </c>
      <c r="C100" s="295" t="s">
        <v>221</v>
      </c>
      <c r="D100" s="292">
        <v>1.7253427429580973E-2</v>
      </c>
      <c r="E100" s="285" t="s">
        <v>222</v>
      </c>
      <c r="F100" s="285" t="s">
        <v>443</v>
      </c>
    </row>
    <row r="101" spans="2:6" ht="15" customHeight="1" x14ac:dyDescent="0.25">
      <c r="B101" s="284">
        <v>2025</v>
      </c>
      <c r="C101" s="295" t="s">
        <v>221</v>
      </c>
      <c r="D101" s="292">
        <v>1.8418078796361145E-2</v>
      </c>
      <c r="E101" s="285" t="s">
        <v>513</v>
      </c>
      <c r="F101" s="285" t="s">
        <v>514</v>
      </c>
    </row>
    <row r="102" spans="2:6" ht="15" customHeight="1" x14ac:dyDescent="0.25">
      <c r="B102" s="284">
        <v>2026</v>
      </c>
      <c r="C102" s="295" t="s">
        <v>221</v>
      </c>
      <c r="D102" s="266"/>
      <c r="E102" s="285" t="s">
        <v>222</v>
      </c>
      <c r="F102" s="285" t="s">
        <v>389</v>
      </c>
    </row>
    <row r="103" spans="2:6" ht="15" customHeight="1" x14ac:dyDescent="0.25">
      <c r="B103" s="284">
        <v>2027</v>
      </c>
      <c r="C103" s="295" t="s">
        <v>221</v>
      </c>
      <c r="D103" s="266"/>
      <c r="E103" s="285" t="s">
        <v>222</v>
      </c>
      <c r="F103" s="285" t="s">
        <v>390</v>
      </c>
    </row>
    <row r="104" spans="2:6" ht="15" customHeight="1" x14ac:dyDescent="0.25">
      <c r="B104" s="284">
        <v>2028</v>
      </c>
      <c r="C104" s="295" t="s">
        <v>221</v>
      </c>
      <c r="D104" s="266"/>
      <c r="E104" s="285" t="s">
        <v>222</v>
      </c>
      <c r="F104" s="285" t="s">
        <v>386</v>
      </c>
    </row>
    <row r="105" spans="2:6" ht="15" customHeight="1" x14ac:dyDescent="0.25">
      <c r="B105" s="284">
        <v>2022</v>
      </c>
      <c r="C105" s="295" t="s">
        <v>223</v>
      </c>
      <c r="D105" s="293">
        <v>2.6456243221875493</v>
      </c>
      <c r="E105" s="286" t="s">
        <v>472</v>
      </c>
      <c r="F105" s="286" t="s">
        <v>458</v>
      </c>
    </row>
    <row r="106" spans="2:6" ht="15" customHeight="1" x14ac:dyDescent="0.25">
      <c r="B106" s="284">
        <v>2023</v>
      </c>
      <c r="C106" s="295" t="s">
        <v>223</v>
      </c>
      <c r="D106" s="292">
        <v>2.6481957657391515</v>
      </c>
      <c r="E106" s="286" t="s">
        <v>472</v>
      </c>
      <c r="F106" s="285" t="s">
        <v>394</v>
      </c>
    </row>
    <row r="107" spans="2:6" ht="15" customHeight="1" x14ac:dyDescent="0.25">
      <c r="B107" s="284">
        <v>2024</v>
      </c>
      <c r="C107" s="295" t="s">
        <v>223</v>
      </c>
      <c r="D107" s="292">
        <v>2.648845717478129</v>
      </c>
      <c r="E107" s="286" t="s">
        <v>472</v>
      </c>
      <c r="F107" s="285" t="s">
        <v>444</v>
      </c>
    </row>
    <row r="108" spans="2:6" ht="15" customHeight="1" x14ac:dyDescent="0.25">
      <c r="B108" s="284">
        <v>2025</v>
      </c>
      <c r="C108" s="295" t="s">
        <v>223</v>
      </c>
      <c r="D108" s="292">
        <v>2.653113095499152</v>
      </c>
      <c r="E108" s="286" t="s">
        <v>511</v>
      </c>
      <c r="F108" s="285" t="s">
        <v>515</v>
      </c>
    </row>
    <row r="109" spans="2:6" ht="15" customHeight="1" x14ac:dyDescent="0.25">
      <c r="B109" s="284">
        <v>2026</v>
      </c>
      <c r="C109" s="295" t="s">
        <v>223</v>
      </c>
      <c r="D109" s="266"/>
      <c r="E109" s="286" t="s">
        <v>472</v>
      </c>
      <c r="F109" s="285" t="s">
        <v>389</v>
      </c>
    </row>
    <row r="110" spans="2:6" ht="15" customHeight="1" x14ac:dyDescent="0.25">
      <c r="B110" s="284">
        <v>2027</v>
      </c>
      <c r="C110" s="295" t="s">
        <v>223</v>
      </c>
      <c r="D110" s="266"/>
      <c r="E110" s="286" t="s">
        <v>472</v>
      </c>
      <c r="F110" s="285" t="s">
        <v>390</v>
      </c>
    </row>
    <row r="111" spans="2:6" ht="15" customHeight="1" x14ac:dyDescent="0.25">
      <c r="B111" s="284">
        <v>2028</v>
      </c>
      <c r="C111" s="295" t="s">
        <v>223</v>
      </c>
      <c r="D111" s="266"/>
      <c r="E111" s="286" t="s">
        <v>472</v>
      </c>
      <c r="F111" s="285" t="s">
        <v>386</v>
      </c>
    </row>
    <row r="112" spans="2:6" ht="15" customHeight="1" x14ac:dyDescent="0.25">
      <c r="B112" s="284">
        <v>2022</v>
      </c>
      <c r="C112" s="295" t="s">
        <v>224</v>
      </c>
      <c r="D112" s="292">
        <v>2.6354162470633744</v>
      </c>
      <c r="E112" s="286" t="s">
        <v>472</v>
      </c>
      <c r="F112" s="285" t="s">
        <v>458</v>
      </c>
    </row>
    <row r="113" spans="2:6" ht="15" customHeight="1" x14ac:dyDescent="0.25">
      <c r="B113" s="284">
        <v>2023</v>
      </c>
      <c r="C113" s="295" t="s">
        <v>224</v>
      </c>
      <c r="D113" s="292">
        <v>2.6361991723522973</v>
      </c>
      <c r="E113" s="286" t="s">
        <v>472</v>
      </c>
      <c r="F113" s="285" t="s">
        <v>394</v>
      </c>
    </row>
    <row r="114" spans="2:6" ht="15" customHeight="1" x14ac:dyDescent="0.25">
      <c r="B114" s="284">
        <v>2024</v>
      </c>
      <c r="C114" s="295" t="s">
        <v>224</v>
      </c>
      <c r="D114" s="292">
        <v>2.6315840053775625</v>
      </c>
      <c r="E114" s="286" t="s">
        <v>472</v>
      </c>
      <c r="F114" s="285" t="s">
        <v>444</v>
      </c>
    </row>
    <row r="115" spans="2:6" ht="15" customHeight="1" x14ac:dyDescent="0.25">
      <c r="B115" s="284">
        <v>2025</v>
      </c>
      <c r="C115" s="295" t="s">
        <v>224</v>
      </c>
      <c r="D115" s="292">
        <v>2.6261575679255245</v>
      </c>
      <c r="E115" s="286" t="s">
        <v>511</v>
      </c>
      <c r="F115" s="285" t="s">
        <v>515</v>
      </c>
    </row>
    <row r="116" spans="2:6" ht="15" customHeight="1" x14ac:dyDescent="0.25">
      <c r="B116" s="284">
        <v>2026</v>
      </c>
      <c r="C116" s="295" t="s">
        <v>224</v>
      </c>
      <c r="D116" s="266"/>
      <c r="E116" s="286" t="s">
        <v>472</v>
      </c>
      <c r="F116" s="285" t="s">
        <v>389</v>
      </c>
    </row>
    <row r="117" spans="2:6" ht="15" customHeight="1" x14ac:dyDescent="0.25">
      <c r="B117" s="284">
        <v>2027</v>
      </c>
      <c r="C117" s="295" t="s">
        <v>224</v>
      </c>
      <c r="D117" s="266"/>
      <c r="E117" s="286" t="s">
        <v>472</v>
      </c>
      <c r="F117" s="285" t="s">
        <v>390</v>
      </c>
    </row>
    <row r="118" spans="2:6" ht="15" customHeight="1" x14ac:dyDescent="0.25">
      <c r="B118" s="284">
        <v>2028</v>
      </c>
      <c r="C118" s="295" t="s">
        <v>224</v>
      </c>
      <c r="D118" s="266"/>
      <c r="E118" s="286" t="s">
        <v>472</v>
      </c>
      <c r="F118" s="285" t="s">
        <v>386</v>
      </c>
    </row>
    <row r="119" spans="2:6" ht="15" customHeight="1" x14ac:dyDescent="0.25">
      <c r="B119" s="284">
        <v>2022</v>
      </c>
      <c r="C119" s="295" t="s">
        <v>225</v>
      </c>
      <c r="D119" s="292">
        <v>2.6421820289063431</v>
      </c>
      <c r="E119" s="285" t="s">
        <v>220</v>
      </c>
      <c r="F119" s="285" t="s">
        <v>458</v>
      </c>
    </row>
    <row r="120" spans="2:6" ht="15" customHeight="1" x14ac:dyDescent="0.25">
      <c r="B120" s="284">
        <v>2023</v>
      </c>
      <c r="C120" s="295" t="s">
        <v>225</v>
      </c>
      <c r="D120" s="292">
        <v>2.6418565997846168</v>
      </c>
      <c r="E120" s="285" t="s">
        <v>220</v>
      </c>
      <c r="F120" s="285" t="s">
        <v>394</v>
      </c>
    </row>
    <row r="121" spans="2:6" ht="15" customHeight="1" x14ac:dyDescent="0.25">
      <c r="B121" s="284">
        <v>2024</v>
      </c>
      <c r="C121" s="295" t="s">
        <v>225</v>
      </c>
      <c r="D121" s="292">
        <v>2.6372619308341347</v>
      </c>
      <c r="E121" s="285" t="s">
        <v>220</v>
      </c>
      <c r="F121" s="285" t="s">
        <v>444</v>
      </c>
    </row>
    <row r="122" spans="2:6" ht="15" customHeight="1" x14ac:dyDescent="0.25">
      <c r="B122" s="284">
        <v>2025</v>
      </c>
      <c r="C122" s="295" t="s">
        <v>225</v>
      </c>
      <c r="D122" s="292">
        <v>2.6322537856063595</v>
      </c>
      <c r="E122" s="285" t="s">
        <v>511</v>
      </c>
      <c r="F122" s="285" t="s">
        <v>515</v>
      </c>
    </row>
    <row r="123" spans="2:6" ht="15" customHeight="1" x14ac:dyDescent="0.25">
      <c r="B123" s="284">
        <v>2026</v>
      </c>
      <c r="C123" s="295" t="s">
        <v>225</v>
      </c>
      <c r="D123" s="266"/>
      <c r="E123" s="285" t="s">
        <v>220</v>
      </c>
      <c r="F123" s="285" t="s">
        <v>389</v>
      </c>
    </row>
    <row r="124" spans="2:6" ht="15" customHeight="1" x14ac:dyDescent="0.25">
      <c r="B124" s="284">
        <v>2027</v>
      </c>
      <c r="C124" s="295" t="s">
        <v>225</v>
      </c>
      <c r="D124" s="266"/>
      <c r="E124" s="285" t="s">
        <v>220</v>
      </c>
      <c r="F124" s="285" t="s">
        <v>390</v>
      </c>
    </row>
    <row r="125" spans="2:6" ht="15" customHeight="1" x14ac:dyDescent="0.25">
      <c r="B125" s="284">
        <v>2028</v>
      </c>
      <c r="C125" s="295" t="s">
        <v>225</v>
      </c>
      <c r="D125" s="266"/>
      <c r="E125" s="285" t="s">
        <v>220</v>
      </c>
      <c r="F125" s="285" t="s">
        <v>386</v>
      </c>
    </row>
    <row r="126" spans="2:6" ht="15" customHeight="1" x14ac:dyDescent="0.25">
      <c r="B126" s="284">
        <v>2022</v>
      </c>
      <c r="C126" s="295" t="s">
        <v>226</v>
      </c>
      <c r="D126" s="292">
        <v>2.7212696147513071</v>
      </c>
      <c r="E126" s="285" t="s">
        <v>222</v>
      </c>
      <c r="F126" s="285" t="s">
        <v>457</v>
      </c>
    </row>
    <row r="127" spans="2:6" ht="15" customHeight="1" x14ac:dyDescent="0.25">
      <c r="B127" s="284">
        <v>2023</v>
      </c>
      <c r="C127" s="295" t="s">
        <v>226</v>
      </c>
      <c r="D127" s="292">
        <v>2.7265916730173307</v>
      </c>
      <c r="E127" s="285" t="s">
        <v>222</v>
      </c>
      <c r="F127" s="285" t="s">
        <v>393</v>
      </c>
    </row>
    <row r="128" spans="2:6" ht="15" customHeight="1" x14ac:dyDescent="0.25">
      <c r="B128" s="284">
        <v>2024</v>
      </c>
      <c r="C128" s="295" t="s">
        <v>226</v>
      </c>
      <c r="D128" s="292">
        <v>2.7248300940962475</v>
      </c>
      <c r="E128" s="285" t="s">
        <v>222</v>
      </c>
      <c r="F128" s="285" t="s">
        <v>443</v>
      </c>
    </row>
    <row r="129" spans="2:6" ht="15" customHeight="1" x14ac:dyDescent="0.25">
      <c r="B129" s="284">
        <v>2025</v>
      </c>
      <c r="C129" s="295" t="s">
        <v>226</v>
      </c>
      <c r="D129" s="292">
        <v>2.6656886129020223</v>
      </c>
      <c r="E129" s="285" t="s">
        <v>513</v>
      </c>
      <c r="F129" s="285" t="s">
        <v>514</v>
      </c>
    </row>
    <row r="130" spans="2:6" ht="15" customHeight="1" x14ac:dyDescent="0.25">
      <c r="B130" s="284">
        <v>2026</v>
      </c>
      <c r="C130" s="295" t="s">
        <v>226</v>
      </c>
      <c r="D130" s="266"/>
      <c r="E130" s="285" t="s">
        <v>222</v>
      </c>
      <c r="F130" s="285" t="s">
        <v>389</v>
      </c>
    </row>
    <row r="131" spans="2:6" ht="15" customHeight="1" x14ac:dyDescent="0.25">
      <c r="B131" s="284">
        <v>2027</v>
      </c>
      <c r="C131" s="295" t="s">
        <v>226</v>
      </c>
      <c r="D131" s="266"/>
      <c r="E131" s="285" t="s">
        <v>222</v>
      </c>
      <c r="F131" s="285" t="s">
        <v>390</v>
      </c>
    </row>
    <row r="132" spans="2:6" ht="15" customHeight="1" x14ac:dyDescent="0.25">
      <c r="B132" s="284">
        <v>2028</v>
      </c>
      <c r="C132" s="295" t="s">
        <v>226</v>
      </c>
      <c r="D132" s="266"/>
      <c r="E132" s="285" t="s">
        <v>222</v>
      </c>
      <c r="F132" s="285" t="s">
        <v>386</v>
      </c>
    </row>
    <row r="133" spans="2:6" ht="15" customHeight="1" x14ac:dyDescent="0.25">
      <c r="C133" s="295" t="s">
        <v>227</v>
      </c>
      <c r="D133" s="292">
        <v>0</v>
      </c>
      <c r="E133" s="285" t="s">
        <v>228</v>
      </c>
      <c r="F133" s="285" t="s">
        <v>229</v>
      </c>
    </row>
    <row r="134" spans="2:6" ht="15" customHeight="1" x14ac:dyDescent="0.25">
      <c r="B134" s="284">
        <v>2022</v>
      </c>
      <c r="C134" s="297" t="s">
        <v>230</v>
      </c>
      <c r="D134" s="293">
        <f>segajääk_2022</f>
        <v>0.63700000000000001</v>
      </c>
      <c r="E134" s="285" t="s">
        <v>198</v>
      </c>
      <c r="F134" s="285" t="str">
        <f>F7</f>
        <v>Elering 2022. Elektrienergia segajäägi eriheide 2021</v>
      </c>
    </row>
    <row r="135" spans="2:6" ht="15" customHeight="1" x14ac:dyDescent="0.25">
      <c r="B135" s="284">
        <v>2023</v>
      </c>
      <c r="C135" s="297" t="s">
        <v>230</v>
      </c>
      <c r="D135" s="293">
        <f>segajääk_2023</f>
        <v>0.71518000000000004</v>
      </c>
      <c r="E135" s="285" t="s">
        <v>198</v>
      </c>
      <c r="F135" s="285" t="s">
        <v>231</v>
      </c>
    </row>
    <row r="136" spans="2:6" ht="15" customHeight="1" x14ac:dyDescent="0.25">
      <c r="B136" s="284">
        <v>2024</v>
      </c>
      <c r="C136" s="297" t="s">
        <v>230</v>
      </c>
      <c r="D136" s="293">
        <f>segajääk_2024</f>
        <v>0.71165999999999996</v>
      </c>
      <c r="E136" s="285" t="s">
        <v>198</v>
      </c>
      <c r="F136" s="285" t="s">
        <v>232</v>
      </c>
    </row>
    <row r="137" spans="2:6" ht="15" customHeight="1" x14ac:dyDescent="0.25">
      <c r="B137" s="284">
        <v>2025</v>
      </c>
      <c r="C137" s="297" t="s">
        <v>230</v>
      </c>
      <c r="D137" s="293">
        <f>segajääk_2025</f>
        <v>0.61195999999999995</v>
      </c>
      <c r="E137" s="285" t="s">
        <v>198</v>
      </c>
      <c r="F137" s="285" t="s">
        <v>233</v>
      </c>
    </row>
    <row r="138" spans="2:6" ht="15" customHeight="1" x14ac:dyDescent="0.25">
      <c r="B138" s="284">
        <v>2026</v>
      </c>
      <c r="C138" s="297" t="s">
        <v>230</v>
      </c>
      <c r="D138" s="293">
        <f>segajääk_2026</f>
        <v>0</v>
      </c>
      <c r="E138" s="285" t="s">
        <v>198</v>
      </c>
      <c r="F138" s="285" t="s">
        <v>234</v>
      </c>
    </row>
    <row r="139" spans="2:6" ht="15" customHeight="1" x14ac:dyDescent="0.25">
      <c r="B139" s="284">
        <v>2027</v>
      </c>
      <c r="C139" s="297" t="s">
        <v>230</v>
      </c>
      <c r="D139" s="293">
        <f>segajääk_2027</f>
        <v>0</v>
      </c>
      <c r="E139" s="285" t="s">
        <v>198</v>
      </c>
      <c r="F139" s="285" t="s">
        <v>235</v>
      </c>
    </row>
    <row r="140" spans="2:6" ht="15" customHeight="1" x14ac:dyDescent="0.25">
      <c r="B140" s="284">
        <v>2028</v>
      </c>
      <c r="C140" s="297" t="s">
        <v>230</v>
      </c>
      <c r="D140" s="293">
        <f>segajääk_2028</f>
        <v>0</v>
      </c>
      <c r="E140" s="285" t="s">
        <v>198</v>
      </c>
      <c r="F140" s="285" t="s">
        <v>236</v>
      </c>
    </row>
    <row r="143" spans="2:6" ht="15" customHeight="1" x14ac:dyDescent="0.25">
      <c r="B143" s="475" t="s">
        <v>237</v>
      </c>
      <c r="C143" s="476"/>
      <c r="E143" s="2"/>
      <c r="F143" s="2"/>
    </row>
    <row r="144" spans="2:6" ht="15" customHeight="1" x14ac:dyDescent="0.25">
      <c r="B144" s="483" t="s">
        <v>238</v>
      </c>
      <c r="C144" s="484"/>
      <c r="D144" s="485" t="s">
        <v>239</v>
      </c>
      <c r="E144" s="486" t="s">
        <v>196</v>
      </c>
      <c r="F144" s="2"/>
    </row>
    <row r="145" spans="2:6" ht="15" customHeight="1" x14ac:dyDescent="0.25">
      <c r="B145" s="487"/>
      <c r="C145" s="488"/>
      <c r="D145" s="489" t="s">
        <v>240</v>
      </c>
      <c r="E145" s="490"/>
      <c r="F145" s="2"/>
    </row>
    <row r="146" spans="2:6" ht="15" customHeight="1" x14ac:dyDescent="0.25">
      <c r="B146" s="491"/>
      <c r="C146" s="492"/>
      <c r="D146" s="493" t="s">
        <v>241</v>
      </c>
      <c r="E146" s="494"/>
      <c r="F146" s="2"/>
    </row>
    <row r="147" spans="2:6" ht="15" customHeight="1" x14ac:dyDescent="0.25">
      <c r="B147" s="295" t="s">
        <v>242</v>
      </c>
      <c r="C147" s="296"/>
      <c r="D147" s="298">
        <v>1300</v>
      </c>
      <c r="E147" s="285" t="s">
        <v>526</v>
      </c>
      <c r="F147" s="2"/>
    </row>
    <row r="148" spans="2:6" ht="15" customHeight="1" x14ac:dyDescent="0.25">
      <c r="B148" s="295" t="s">
        <v>243</v>
      </c>
      <c r="C148" s="296"/>
      <c r="D148" s="298">
        <v>3942.8</v>
      </c>
      <c r="E148" s="285" t="s">
        <v>526</v>
      </c>
      <c r="F148" s="2"/>
    </row>
    <row r="149" spans="2:6" ht="15" customHeight="1" x14ac:dyDescent="0.25">
      <c r="B149" s="295" t="s">
        <v>244</v>
      </c>
      <c r="C149" s="296"/>
      <c r="D149" s="298">
        <v>1923.4</v>
      </c>
      <c r="E149" s="285" t="s">
        <v>526</v>
      </c>
      <c r="F149" s="2"/>
    </row>
    <row r="150" spans="2:6" ht="15" customHeight="1" x14ac:dyDescent="0.25">
      <c r="B150" s="295" t="s">
        <v>245</v>
      </c>
      <c r="C150" s="296"/>
      <c r="D150" s="298">
        <v>1624.3</v>
      </c>
      <c r="E150" s="285" t="s">
        <v>526</v>
      </c>
      <c r="F150" s="2"/>
    </row>
    <row r="151" spans="2:6" ht="15" customHeight="1" x14ac:dyDescent="0.25">
      <c r="B151" s="295" t="s">
        <v>246</v>
      </c>
      <c r="C151" s="296"/>
      <c r="D151" s="298">
        <v>1674.1</v>
      </c>
      <c r="E151" s="285" t="s">
        <v>526</v>
      </c>
      <c r="F151" s="2"/>
    </row>
    <row r="152" spans="2:6" ht="15" customHeight="1" x14ac:dyDescent="0.25">
      <c r="B152" s="295" t="s">
        <v>247</v>
      </c>
      <c r="C152" s="296"/>
      <c r="D152" s="298">
        <v>1923.5</v>
      </c>
      <c r="E152" s="285" t="s">
        <v>526</v>
      </c>
      <c r="F152" s="2"/>
    </row>
    <row r="153" spans="2:6" ht="15" customHeight="1" x14ac:dyDescent="0.25">
      <c r="B153" s="295" t="s">
        <v>248</v>
      </c>
      <c r="C153" s="296"/>
      <c r="D153" s="298">
        <v>2127.4</v>
      </c>
      <c r="E153" s="285" t="s">
        <v>526</v>
      </c>
      <c r="F153" s="2"/>
    </row>
    <row r="154" spans="2:6" ht="15" customHeight="1" x14ac:dyDescent="0.25">
      <c r="B154" s="295" t="s">
        <v>249</v>
      </c>
      <c r="C154" s="296"/>
      <c r="D154" s="298">
        <v>2847.2999999999997</v>
      </c>
      <c r="E154" s="285" t="s">
        <v>526</v>
      </c>
      <c r="F154" s="2"/>
    </row>
    <row r="155" spans="2:6" ht="15" customHeight="1" x14ac:dyDescent="0.25">
      <c r="B155" s="295" t="s">
        <v>250</v>
      </c>
      <c r="C155" s="296"/>
      <c r="D155" s="298">
        <v>2473.2999999999997</v>
      </c>
      <c r="E155" s="285" t="s">
        <v>526</v>
      </c>
      <c r="F155" s="2"/>
    </row>
    <row r="156" spans="2:6" ht="15" customHeight="1" x14ac:dyDescent="0.25">
      <c r="B156" s="295" t="s">
        <v>251</v>
      </c>
      <c r="C156" s="296"/>
      <c r="D156" s="298">
        <v>2024.1</v>
      </c>
      <c r="E156" s="285" t="s">
        <v>526</v>
      </c>
      <c r="F156" s="2"/>
    </row>
    <row r="157" spans="2:6" ht="15" customHeight="1" x14ac:dyDescent="0.25">
      <c r="B157" s="295" t="s">
        <v>252</v>
      </c>
      <c r="C157" s="296"/>
      <c r="D157" s="298">
        <v>3985</v>
      </c>
      <c r="E157" s="285" t="s">
        <v>526</v>
      </c>
      <c r="F157" s="2"/>
    </row>
    <row r="158" spans="2:6" ht="15" customHeight="1" x14ac:dyDescent="0.25">
      <c r="B158" s="299" t="s">
        <v>527</v>
      </c>
    </row>
    <row r="161" spans="2:6" ht="15" customHeight="1" x14ac:dyDescent="0.25">
      <c r="B161" s="475" t="s">
        <v>253</v>
      </c>
      <c r="C161" s="476"/>
      <c r="D161" s="300"/>
      <c r="E161" s="2"/>
      <c r="F161" s="2"/>
    </row>
    <row r="162" spans="2:6" ht="15" customHeight="1" x14ac:dyDescent="0.25">
      <c r="B162" s="478" t="s">
        <v>192</v>
      </c>
      <c r="C162" s="478" t="s">
        <v>254</v>
      </c>
      <c r="D162" s="479" t="s">
        <v>194</v>
      </c>
      <c r="E162" s="479" t="s">
        <v>195</v>
      </c>
      <c r="F162" s="482" t="s">
        <v>196</v>
      </c>
    </row>
    <row r="163" spans="2:6" ht="15" customHeight="1" x14ac:dyDescent="0.25">
      <c r="B163" s="284">
        <v>2022</v>
      </c>
      <c r="C163" s="295" t="s">
        <v>255</v>
      </c>
      <c r="D163" s="292">
        <v>0.19120832501511228</v>
      </c>
      <c r="E163" s="284" t="s">
        <v>256</v>
      </c>
      <c r="F163" s="285" t="s">
        <v>459</v>
      </c>
    </row>
    <row r="164" spans="2:6" ht="15" customHeight="1" x14ac:dyDescent="0.25">
      <c r="B164" s="284">
        <v>2023</v>
      </c>
      <c r="C164" s="295" t="s">
        <v>255</v>
      </c>
      <c r="D164" s="292">
        <v>0.1987030251678587</v>
      </c>
      <c r="E164" s="284" t="s">
        <v>256</v>
      </c>
      <c r="F164" s="285" t="s">
        <v>395</v>
      </c>
    </row>
    <row r="165" spans="2:6" ht="15" customHeight="1" x14ac:dyDescent="0.25">
      <c r="B165" s="284">
        <v>2024</v>
      </c>
      <c r="C165" s="295" t="s">
        <v>255</v>
      </c>
      <c r="D165" s="292">
        <v>0.19091238197802346</v>
      </c>
      <c r="E165" s="284" t="s">
        <v>256</v>
      </c>
      <c r="F165" s="285" t="s">
        <v>391</v>
      </c>
    </row>
    <row r="166" spans="2:6" ht="15" customHeight="1" x14ac:dyDescent="0.25">
      <c r="B166" s="284">
        <v>2025</v>
      </c>
      <c r="C166" s="295" t="s">
        <v>255</v>
      </c>
      <c r="D166" s="292">
        <v>0.18758871792042925</v>
      </c>
      <c r="E166" s="284" t="s">
        <v>256</v>
      </c>
      <c r="F166" s="285" t="s">
        <v>388</v>
      </c>
    </row>
    <row r="167" spans="2:6" ht="15" customHeight="1" x14ac:dyDescent="0.25">
      <c r="B167" s="284">
        <v>2026</v>
      </c>
      <c r="C167" s="295" t="s">
        <v>255</v>
      </c>
      <c r="D167" s="266"/>
      <c r="E167" s="284" t="s">
        <v>256</v>
      </c>
      <c r="F167" s="285" t="s">
        <v>389</v>
      </c>
    </row>
    <row r="168" spans="2:6" ht="15" customHeight="1" x14ac:dyDescent="0.25">
      <c r="B168" s="284">
        <v>2027</v>
      </c>
      <c r="C168" s="295" t="s">
        <v>255</v>
      </c>
      <c r="D168" s="266"/>
      <c r="E168" s="284" t="s">
        <v>256</v>
      </c>
      <c r="F168" s="285" t="s">
        <v>390</v>
      </c>
    </row>
    <row r="169" spans="2:6" ht="15" customHeight="1" x14ac:dyDescent="0.25">
      <c r="B169" s="284">
        <v>2028</v>
      </c>
      <c r="C169" s="295" t="s">
        <v>255</v>
      </c>
      <c r="D169" s="266"/>
      <c r="E169" s="284" t="s">
        <v>256</v>
      </c>
      <c r="F169" s="285" t="s">
        <v>386</v>
      </c>
    </row>
    <row r="170" spans="2:6" ht="15" customHeight="1" x14ac:dyDescent="0.25">
      <c r="B170" s="284">
        <v>2022</v>
      </c>
      <c r="C170" s="295" t="s">
        <v>257</v>
      </c>
      <c r="D170" s="292">
        <v>0.15060969005304506</v>
      </c>
      <c r="E170" s="284" t="s">
        <v>256</v>
      </c>
      <c r="F170" s="285" t="s">
        <v>459</v>
      </c>
    </row>
    <row r="171" spans="2:6" ht="15" customHeight="1" x14ac:dyDescent="0.25">
      <c r="B171" s="284">
        <v>2023</v>
      </c>
      <c r="C171" s="295" t="s">
        <v>257</v>
      </c>
      <c r="D171" s="292">
        <v>0.16202207502363047</v>
      </c>
      <c r="E171" s="284" t="s">
        <v>256</v>
      </c>
      <c r="F171" s="285" t="s">
        <v>395</v>
      </c>
    </row>
    <row r="172" spans="2:6" ht="15" customHeight="1" x14ac:dyDescent="0.25">
      <c r="B172" s="284">
        <v>2024</v>
      </c>
      <c r="C172" s="295" t="s">
        <v>257</v>
      </c>
      <c r="D172" s="292">
        <v>0.15430071720382982</v>
      </c>
      <c r="E172" s="284" t="s">
        <v>256</v>
      </c>
      <c r="F172" s="285" t="s">
        <v>391</v>
      </c>
    </row>
    <row r="173" spans="2:6" ht="15" customHeight="1" x14ac:dyDescent="0.25">
      <c r="B173" s="284">
        <v>2025</v>
      </c>
      <c r="C173" s="295" t="s">
        <v>257</v>
      </c>
      <c r="D173" s="292">
        <v>0.15854764996049844</v>
      </c>
      <c r="E173" s="284" t="s">
        <v>256</v>
      </c>
      <c r="F173" s="285" t="s">
        <v>388</v>
      </c>
    </row>
    <row r="174" spans="2:6" ht="15" customHeight="1" x14ac:dyDescent="0.25">
      <c r="B174" s="284">
        <v>2026</v>
      </c>
      <c r="C174" s="295" t="s">
        <v>257</v>
      </c>
      <c r="D174" s="266"/>
      <c r="E174" s="284" t="s">
        <v>256</v>
      </c>
      <c r="F174" s="285" t="s">
        <v>389</v>
      </c>
    </row>
    <row r="175" spans="2:6" ht="15" customHeight="1" x14ac:dyDescent="0.25">
      <c r="B175" s="284">
        <v>2027</v>
      </c>
      <c r="C175" s="295" t="s">
        <v>257</v>
      </c>
      <c r="D175" s="266"/>
      <c r="E175" s="284" t="s">
        <v>256</v>
      </c>
      <c r="F175" s="285" t="s">
        <v>390</v>
      </c>
    </row>
    <row r="176" spans="2:6" ht="15" customHeight="1" x14ac:dyDescent="0.25">
      <c r="B176" s="284">
        <v>2028</v>
      </c>
      <c r="C176" s="295" t="s">
        <v>257</v>
      </c>
      <c r="D176" s="266"/>
      <c r="E176" s="284" t="s">
        <v>256</v>
      </c>
      <c r="F176" s="285" t="s">
        <v>386</v>
      </c>
    </row>
    <row r="177" spans="2:6" ht="15" customHeight="1" x14ac:dyDescent="0.25">
      <c r="B177" s="284">
        <v>2022</v>
      </c>
      <c r="C177" s="295" t="s">
        <v>258</v>
      </c>
      <c r="D177" s="292">
        <v>7.8774591971879945E-4</v>
      </c>
      <c r="E177" s="284" t="s">
        <v>256</v>
      </c>
      <c r="F177" s="285" t="s">
        <v>259</v>
      </c>
    </row>
    <row r="178" spans="2:6" ht="15" customHeight="1" x14ac:dyDescent="0.25">
      <c r="B178" s="284">
        <v>2023</v>
      </c>
      <c r="C178" s="295" t="s">
        <v>258</v>
      </c>
      <c r="D178" s="292">
        <v>2.4256892517526413E-3</v>
      </c>
      <c r="E178" s="284" t="s">
        <v>256</v>
      </c>
      <c r="F178" s="285" t="s">
        <v>259</v>
      </c>
    </row>
    <row r="179" spans="2:6" ht="15" customHeight="1" x14ac:dyDescent="0.25">
      <c r="B179" s="284">
        <v>2024</v>
      </c>
      <c r="C179" s="295" t="s">
        <v>258</v>
      </c>
      <c r="D179" s="292">
        <v>7.9741694074069792E-4</v>
      </c>
      <c r="E179" s="284" t="s">
        <v>256</v>
      </c>
      <c r="F179" s="285" t="s">
        <v>259</v>
      </c>
    </row>
    <row r="180" spans="2:6" ht="15" customHeight="1" x14ac:dyDescent="0.25">
      <c r="B180" s="284">
        <v>2025</v>
      </c>
      <c r="C180" s="295" t="s">
        <v>258</v>
      </c>
      <c r="D180" s="292">
        <v>5.8903586902355441E-4</v>
      </c>
      <c r="E180" s="284" t="s">
        <v>256</v>
      </c>
      <c r="F180" s="326"/>
    </row>
    <row r="181" spans="2:6" ht="15" customHeight="1" x14ac:dyDescent="0.25">
      <c r="B181" s="284">
        <v>2026</v>
      </c>
      <c r="C181" s="295" t="s">
        <v>258</v>
      </c>
      <c r="D181" s="266"/>
      <c r="E181" s="284" t="s">
        <v>256</v>
      </c>
      <c r="F181" s="326"/>
    </row>
    <row r="182" spans="2:6" ht="15" customHeight="1" x14ac:dyDescent="0.25">
      <c r="B182" s="284">
        <v>2027</v>
      </c>
      <c r="C182" s="295" t="s">
        <v>258</v>
      </c>
      <c r="D182" s="266"/>
      <c r="E182" s="284" t="s">
        <v>256</v>
      </c>
      <c r="F182" s="326"/>
    </row>
    <row r="183" spans="2:6" ht="15" customHeight="1" x14ac:dyDescent="0.25">
      <c r="B183" s="284">
        <v>2028</v>
      </c>
      <c r="C183" s="295" t="s">
        <v>258</v>
      </c>
      <c r="D183" s="266"/>
      <c r="E183" s="284" t="s">
        <v>256</v>
      </c>
      <c r="F183" s="326"/>
    </row>
    <row r="184" spans="2:6" ht="15" customHeight="1" x14ac:dyDescent="0.25">
      <c r="B184" s="284">
        <v>2022</v>
      </c>
      <c r="C184" s="295" t="s">
        <v>340</v>
      </c>
      <c r="D184" s="292">
        <v>0.15655277608768631</v>
      </c>
      <c r="E184" s="284" t="s">
        <v>256</v>
      </c>
      <c r="F184" s="285" t="s">
        <v>459</v>
      </c>
    </row>
    <row r="185" spans="2:6" ht="15" customHeight="1" x14ac:dyDescent="0.25">
      <c r="B185" s="284">
        <v>2023</v>
      </c>
      <c r="C185" s="295" t="s">
        <v>340</v>
      </c>
      <c r="D185" s="292">
        <v>0.15971478461091224</v>
      </c>
      <c r="E185" s="284" t="s">
        <v>256</v>
      </c>
      <c r="F185" s="285" t="s">
        <v>395</v>
      </c>
    </row>
    <row r="186" spans="2:6" ht="15" customHeight="1" x14ac:dyDescent="0.25">
      <c r="B186" s="284">
        <v>2024</v>
      </c>
      <c r="C186" s="295" t="s">
        <v>340</v>
      </c>
      <c r="D186" s="292">
        <v>0.1403949953563827</v>
      </c>
      <c r="E186" s="284" t="s">
        <v>256</v>
      </c>
      <c r="F186" s="285" t="s">
        <v>391</v>
      </c>
    </row>
    <row r="187" spans="2:6" ht="15" customHeight="1" x14ac:dyDescent="0.25">
      <c r="B187" s="284">
        <v>2025</v>
      </c>
      <c r="C187" s="295" t="s">
        <v>340</v>
      </c>
      <c r="D187" s="292">
        <v>0.12844662243344382</v>
      </c>
      <c r="E187" s="284" t="s">
        <v>256</v>
      </c>
      <c r="F187" s="285" t="s">
        <v>388</v>
      </c>
    </row>
    <row r="188" spans="2:6" ht="15" customHeight="1" x14ac:dyDescent="0.25">
      <c r="B188" s="284">
        <v>2026</v>
      </c>
      <c r="C188" s="295" t="s">
        <v>340</v>
      </c>
      <c r="D188" s="266"/>
      <c r="E188" s="284" t="s">
        <v>256</v>
      </c>
      <c r="F188" s="285" t="s">
        <v>389</v>
      </c>
    </row>
    <row r="189" spans="2:6" ht="15" customHeight="1" x14ac:dyDescent="0.25">
      <c r="B189" s="284">
        <v>2027</v>
      </c>
      <c r="C189" s="295" t="s">
        <v>340</v>
      </c>
      <c r="D189" s="266"/>
      <c r="E189" s="284" t="s">
        <v>256</v>
      </c>
      <c r="F189" s="285" t="s">
        <v>390</v>
      </c>
    </row>
    <row r="190" spans="2:6" ht="15" customHeight="1" x14ac:dyDescent="0.25">
      <c r="B190" s="284">
        <v>2028</v>
      </c>
      <c r="C190" s="295" t="s">
        <v>340</v>
      </c>
      <c r="D190" s="266"/>
      <c r="E190" s="284" t="s">
        <v>256</v>
      </c>
      <c r="F190" s="285" t="s">
        <v>386</v>
      </c>
    </row>
    <row r="191" spans="2:6" ht="15" customHeight="1" x14ac:dyDescent="0.25">
      <c r="B191" s="284">
        <v>2022</v>
      </c>
      <c r="C191" s="295" t="s">
        <v>343</v>
      </c>
      <c r="D191" s="293">
        <v>0.11987633056454484</v>
      </c>
      <c r="E191" s="521" t="s">
        <v>460</v>
      </c>
      <c r="F191" s="286" t="s">
        <v>459</v>
      </c>
    </row>
    <row r="192" spans="2:6" ht="15" customHeight="1" x14ac:dyDescent="0.25">
      <c r="B192" s="284">
        <v>2023</v>
      </c>
      <c r="C192" s="295" t="s">
        <v>343</v>
      </c>
      <c r="D192" s="292">
        <v>0.12446904837604839</v>
      </c>
      <c r="E192" s="284" t="s">
        <v>256</v>
      </c>
      <c r="F192" s="285" t="s">
        <v>395</v>
      </c>
    </row>
    <row r="193" spans="2:6" ht="15" customHeight="1" x14ac:dyDescent="0.25">
      <c r="B193" s="284">
        <v>2024</v>
      </c>
      <c r="C193" s="295" t="s">
        <v>343</v>
      </c>
      <c r="D193" s="292">
        <v>0.12368321264114203</v>
      </c>
      <c r="E193" s="284" t="s">
        <v>256</v>
      </c>
      <c r="F193" s="285" t="s">
        <v>391</v>
      </c>
    </row>
    <row r="194" spans="2:6" ht="15" customHeight="1" x14ac:dyDescent="0.25">
      <c r="B194" s="284">
        <v>2025</v>
      </c>
      <c r="C194" s="295" t="s">
        <v>343</v>
      </c>
      <c r="D194" s="292">
        <v>0.1399602485017529</v>
      </c>
      <c r="E194" s="284" t="s">
        <v>256</v>
      </c>
      <c r="F194" s="285" t="s">
        <v>388</v>
      </c>
    </row>
    <row r="195" spans="2:6" ht="15" customHeight="1" x14ac:dyDescent="0.25">
      <c r="B195" s="284">
        <v>2026</v>
      </c>
      <c r="C195" s="295" t="s">
        <v>343</v>
      </c>
      <c r="D195" s="266"/>
      <c r="E195" s="284" t="s">
        <v>256</v>
      </c>
      <c r="F195" s="285" t="s">
        <v>389</v>
      </c>
    </row>
    <row r="196" spans="2:6" ht="15" customHeight="1" x14ac:dyDescent="0.25">
      <c r="B196" s="284">
        <v>2027</v>
      </c>
      <c r="C196" s="295" t="s">
        <v>343</v>
      </c>
      <c r="D196" s="266"/>
      <c r="E196" s="284" t="s">
        <v>256</v>
      </c>
      <c r="F196" s="285" t="s">
        <v>390</v>
      </c>
    </row>
    <row r="197" spans="2:6" ht="15" customHeight="1" x14ac:dyDescent="0.25">
      <c r="B197" s="284">
        <v>2028</v>
      </c>
      <c r="C197" s="295" t="s">
        <v>343</v>
      </c>
      <c r="D197" s="266"/>
      <c r="E197" s="284" t="s">
        <v>256</v>
      </c>
      <c r="F197" s="285" t="s">
        <v>386</v>
      </c>
    </row>
    <row r="198" spans="2:6" ht="15" customHeight="1" x14ac:dyDescent="0.25">
      <c r="B198" s="326"/>
      <c r="C198" s="295" t="s">
        <v>260</v>
      </c>
      <c r="D198" s="292">
        <v>0</v>
      </c>
      <c r="E198" s="284" t="s">
        <v>256</v>
      </c>
      <c r="F198" s="285" t="s">
        <v>261</v>
      </c>
    </row>
    <row r="199" spans="2:6" ht="15" customHeight="1" x14ac:dyDescent="0.25">
      <c r="B199" s="284">
        <v>2022</v>
      </c>
      <c r="C199" s="295" t="s">
        <v>262</v>
      </c>
      <c r="D199" s="292">
        <f>segajääk_2022*0.2</f>
        <v>0.12740000000000001</v>
      </c>
      <c r="E199" s="284" t="s">
        <v>256</v>
      </c>
      <c r="F199" s="285" t="s">
        <v>263</v>
      </c>
    </row>
    <row r="200" spans="2:6" ht="15" customHeight="1" x14ac:dyDescent="0.25">
      <c r="B200" s="284">
        <v>2023</v>
      </c>
      <c r="C200" s="295" t="s">
        <v>262</v>
      </c>
      <c r="D200" s="292">
        <f>segajääk_2023*0.2</f>
        <v>0.14303600000000002</v>
      </c>
      <c r="E200" s="284" t="s">
        <v>256</v>
      </c>
      <c r="F200" s="285" t="s">
        <v>263</v>
      </c>
    </row>
    <row r="201" spans="2:6" ht="15" customHeight="1" x14ac:dyDescent="0.25">
      <c r="B201" s="284">
        <v>2024</v>
      </c>
      <c r="C201" s="295" t="s">
        <v>262</v>
      </c>
      <c r="D201" s="292">
        <f>segajääk_2024*0.2</f>
        <v>0.14233199999999999</v>
      </c>
      <c r="E201" s="284" t="s">
        <v>256</v>
      </c>
      <c r="F201" s="285" t="s">
        <v>263</v>
      </c>
    </row>
    <row r="202" spans="2:6" ht="15" customHeight="1" x14ac:dyDescent="0.25">
      <c r="B202" s="284">
        <v>2025</v>
      </c>
      <c r="C202" s="295" t="s">
        <v>262</v>
      </c>
      <c r="D202" s="292">
        <f>segajääk_2025*0.2</f>
        <v>0.122392</v>
      </c>
      <c r="E202" s="284" t="s">
        <v>256</v>
      </c>
      <c r="F202" s="285" t="s">
        <v>263</v>
      </c>
    </row>
    <row r="203" spans="2:6" ht="15" customHeight="1" x14ac:dyDescent="0.25">
      <c r="B203" s="284">
        <v>2026</v>
      </c>
      <c r="C203" s="295" t="s">
        <v>262</v>
      </c>
      <c r="D203" s="292">
        <f>segajääk_2026*0.2</f>
        <v>0</v>
      </c>
      <c r="E203" s="284" t="s">
        <v>256</v>
      </c>
      <c r="F203" s="285" t="s">
        <v>263</v>
      </c>
    </row>
    <row r="204" spans="2:6" ht="15" customHeight="1" x14ac:dyDescent="0.25">
      <c r="B204" s="284">
        <v>2027</v>
      </c>
      <c r="C204" s="295" t="s">
        <v>262</v>
      </c>
      <c r="D204" s="292">
        <f>segajääk_2027*0.2</f>
        <v>0</v>
      </c>
      <c r="E204" s="284" t="s">
        <v>256</v>
      </c>
      <c r="F204" s="285" t="s">
        <v>263</v>
      </c>
    </row>
    <row r="205" spans="2:6" ht="15" customHeight="1" x14ac:dyDescent="0.25">
      <c r="B205" s="284">
        <v>2028</v>
      </c>
      <c r="C205" s="295" t="s">
        <v>262</v>
      </c>
      <c r="D205" s="292">
        <f>segajääk_2028*0.2</f>
        <v>0</v>
      </c>
      <c r="E205" s="284" t="s">
        <v>256</v>
      </c>
      <c r="F205" s="285" t="s">
        <v>263</v>
      </c>
    </row>
    <row r="206" spans="2:6" ht="15" customHeight="1" x14ac:dyDescent="0.25">
      <c r="B206" s="284">
        <v>2022</v>
      </c>
      <c r="C206" s="295" t="s">
        <v>264</v>
      </c>
      <c r="D206" s="522">
        <v>0.18053987907914804</v>
      </c>
      <c r="E206" s="521" t="s">
        <v>460</v>
      </c>
      <c r="F206" s="286" t="s">
        <v>487</v>
      </c>
    </row>
    <row r="207" spans="2:6" ht="15" customHeight="1" x14ac:dyDescent="0.25">
      <c r="B207" s="284">
        <v>2023</v>
      </c>
      <c r="C207" s="295" t="s">
        <v>264</v>
      </c>
      <c r="D207" s="301">
        <v>0.18929954423124906</v>
      </c>
      <c r="E207" s="284" t="s">
        <v>256</v>
      </c>
      <c r="F207" s="285" t="s">
        <v>396</v>
      </c>
    </row>
    <row r="208" spans="2:6" ht="15" customHeight="1" x14ac:dyDescent="0.25">
      <c r="B208" s="284">
        <v>2024</v>
      </c>
      <c r="C208" s="295" t="s">
        <v>264</v>
      </c>
      <c r="D208" s="292">
        <v>0.18393292099730651</v>
      </c>
      <c r="E208" s="284" t="s">
        <v>256</v>
      </c>
      <c r="F208" s="285" t="s">
        <v>397</v>
      </c>
    </row>
    <row r="209" spans="2:6" ht="15" customHeight="1" x14ac:dyDescent="0.25">
      <c r="B209" s="284">
        <v>2025</v>
      </c>
      <c r="C209" s="295" t="s">
        <v>264</v>
      </c>
      <c r="D209" s="292">
        <v>0.18442316975601358</v>
      </c>
      <c r="E209" s="284" t="s">
        <v>256</v>
      </c>
      <c r="F209" s="285" t="s">
        <v>398</v>
      </c>
    </row>
    <row r="210" spans="2:6" ht="15" customHeight="1" x14ac:dyDescent="0.25">
      <c r="B210" s="284">
        <v>2026</v>
      </c>
      <c r="C210" s="295" t="s">
        <v>264</v>
      </c>
      <c r="D210" s="266"/>
      <c r="E210" s="284" t="s">
        <v>256</v>
      </c>
      <c r="F210" s="285" t="s">
        <v>399</v>
      </c>
    </row>
    <row r="211" spans="2:6" ht="15" customHeight="1" x14ac:dyDescent="0.25">
      <c r="B211" s="284">
        <v>2027</v>
      </c>
      <c r="C211" s="295" t="s">
        <v>264</v>
      </c>
      <c r="D211" s="266"/>
      <c r="E211" s="284" t="s">
        <v>256</v>
      </c>
      <c r="F211" s="285" t="s">
        <v>400</v>
      </c>
    </row>
    <row r="212" spans="2:6" ht="15" customHeight="1" x14ac:dyDescent="0.25">
      <c r="B212" s="284">
        <v>2028</v>
      </c>
      <c r="C212" s="295" t="s">
        <v>264</v>
      </c>
      <c r="D212" s="266"/>
      <c r="E212" s="284" t="s">
        <v>256</v>
      </c>
      <c r="F212" s="285" t="s">
        <v>401</v>
      </c>
    </row>
    <row r="213" spans="2:6" ht="15" customHeight="1" x14ac:dyDescent="0.25">
      <c r="B213" s="284">
        <v>2022</v>
      </c>
      <c r="C213" s="295" t="s">
        <v>265</v>
      </c>
      <c r="D213" s="522">
        <v>3.5597503422040169E-2</v>
      </c>
      <c r="E213" s="286" t="s">
        <v>461</v>
      </c>
      <c r="F213" s="286" t="s">
        <v>462</v>
      </c>
    </row>
    <row r="214" spans="2:6" ht="15" customHeight="1" x14ac:dyDescent="0.25">
      <c r="B214" s="284">
        <v>2023</v>
      </c>
      <c r="C214" s="295" t="s">
        <v>265</v>
      </c>
      <c r="D214" s="301">
        <v>2.4565872435996693E-2</v>
      </c>
      <c r="E214" s="285" t="s">
        <v>266</v>
      </c>
      <c r="F214" s="285" t="s">
        <v>402</v>
      </c>
    </row>
    <row r="215" spans="2:6" ht="15" customHeight="1" x14ac:dyDescent="0.25">
      <c r="B215" s="284">
        <v>2024</v>
      </c>
      <c r="C215" s="295" t="s">
        <v>265</v>
      </c>
      <c r="D215" s="301">
        <v>2.4046283642270481E-2</v>
      </c>
      <c r="E215" s="285" t="s">
        <v>266</v>
      </c>
      <c r="F215" s="285" t="s">
        <v>403</v>
      </c>
    </row>
    <row r="216" spans="2:6" ht="15" customHeight="1" x14ac:dyDescent="0.25">
      <c r="B216" s="284">
        <v>2025</v>
      </c>
      <c r="C216" s="295" t="s">
        <v>265</v>
      </c>
      <c r="D216" s="292">
        <v>2.3704559246106448E-2</v>
      </c>
      <c r="E216" s="285" t="s">
        <v>266</v>
      </c>
      <c r="F216" s="285" t="s">
        <v>404</v>
      </c>
    </row>
    <row r="217" spans="2:6" ht="15" customHeight="1" x14ac:dyDescent="0.25">
      <c r="B217" s="284">
        <v>2026</v>
      </c>
      <c r="C217" s="295" t="s">
        <v>265</v>
      </c>
      <c r="D217" s="266"/>
      <c r="E217" s="285" t="s">
        <v>266</v>
      </c>
      <c r="F217" s="285" t="s">
        <v>405</v>
      </c>
    </row>
    <row r="218" spans="2:6" ht="15" customHeight="1" x14ac:dyDescent="0.25">
      <c r="B218" s="284">
        <v>2027</v>
      </c>
      <c r="C218" s="295" t="s">
        <v>265</v>
      </c>
      <c r="D218" s="266"/>
      <c r="E218" s="285" t="s">
        <v>266</v>
      </c>
      <c r="F218" s="285" t="s">
        <v>406</v>
      </c>
    </row>
    <row r="219" spans="2:6" ht="15" customHeight="1" x14ac:dyDescent="0.25">
      <c r="B219" s="284">
        <v>2028</v>
      </c>
      <c r="C219" s="295" t="s">
        <v>265</v>
      </c>
      <c r="D219" s="266"/>
      <c r="E219" s="285" t="s">
        <v>266</v>
      </c>
      <c r="F219" s="285" t="s">
        <v>407</v>
      </c>
    </row>
    <row r="220" spans="2:6" ht="15" customHeight="1" x14ac:dyDescent="0.25">
      <c r="B220" s="284">
        <v>2022</v>
      </c>
      <c r="C220" s="295" t="s">
        <v>267</v>
      </c>
      <c r="D220" s="522">
        <v>0.11429481729489449</v>
      </c>
      <c r="E220" s="286" t="s">
        <v>461</v>
      </c>
      <c r="F220" s="286" t="s">
        <v>463</v>
      </c>
    </row>
    <row r="221" spans="2:6" ht="15" customHeight="1" x14ac:dyDescent="0.25">
      <c r="B221" s="284">
        <v>2023</v>
      </c>
      <c r="C221" s="295" t="s">
        <v>267</v>
      </c>
      <c r="D221" s="301">
        <v>0.11553876165695967</v>
      </c>
      <c r="E221" s="285" t="s">
        <v>266</v>
      </c>
      <c r="F221" s="285" t="s">
        <v>408</v>
      </c>
    </row>
    <row r="222" spans="2:6" ht="15" customHeight="1" x14ac:dyDescent="0.25">
      <c r="B222" s="284">
        <v>2024</v>
      </c>
      <c r="C222" s="295" t="s">
        <v>267</v>
      </c>
      <c r="D222" s="292">
        <v>8.7307972299789746E-2</v>
      </c>
      <c r="E222" s="285" t="s">
        <v>266</v>
      </c>
      <c r="F222" s="285" t="s">
        <v>409</v>
      </c>
    </row>
    <row r="223" spans="2:6" ht="15" customHeight="1" x14ac:dyDescent="0.25">
      <c r="B223" s="284">
        <v>2025</v>
      </c>
      <c r="C223" s="295" t="s">
        <v>267</v>
      </c>
      <c r="D223" s="292">
        <v>8.2485209039824745E-2</v>
      </c>
      <c r="E223" s="285" t="s">
        <v>266</v>
      </c>
      <c r="F223" s="285" t="s">
        <v>410</v>
      </c>
    </row>
    <row r="224" spans="2:6" ht="15" customHeight="1" x14ac:dyDescent="0.25">
      <c r="B224" s="284">
        <v>2026</v>
      </c>
      <c r="C224" s="295" t="s">
        <v>267</v>
      </c>
      <c r="D224" s="266"/>
      <c r="E224" s="285" t="s">
        <v>266</v>
      </c>
      <c r="F224" s="285" t="s">
        <v>411</v>
      </c>
    </row>
    <row r="225" spans="2:6" ht="15" customHeight="1" x14ac:dyDescent="0.25">
      <c r="B225" s="284">
        <v>2027</v>
      </c>
      <c r="C225" s="295" t="s">
        <v>267</v>
      </c>
      <c r="D225" s="266"/>
      <c r="E225" s="285" t="s">
        <v>266</v>
      </c>
      <c r="F225" s="285" t="s">
        <v>412</v>
      </c>
    </row>
    <row r="226" spans="2:6" ht="15" customHeight="1" x14ac:dyDescent="0.25">
      <c r="B226" s="284">
        <v>2028</v>
      </c>
      <c r="C226" s="295" t="s">
        <v>267</v>
      </c>
      <c r="D226" s="266"/>
      <c r="E226" s="285" t="s">
        <v>266</v>
      </c>
      <c r="F226" s="285" t="s">
        <v>413</v>
      </c>
    </row>
    <row r="227" spans="2:6" ht="15" customHeight="1" x14ac:dyDescent="0.25">
      <c r="B227" s="284">
        <v>2022</v>
      </c>
      <c r="C227" s="295" t="s">
        <v>268</v>
      </c>
      <c r="D227" s="301">
        <v>0.13979712396265453</v>
      </c>
      <c r="E227" s="285" t="s">
        <v>266</v>
      </c>
      <c r="F227" s="285" t="s">
        <v>464</v>
      </c>
    </row>
    <row r="228" spans="2:6" ht="15" customHeight="1" x14ac:dyDescent="0.25">
      <c r="B228" s="284">
        <v>2023</v>
      </c>
      <c r="C228" s="295" t="s">
        <v>268</v>
      </c>
      <c r="D228" s="301">
        <v>9.2280196422255711E-2</v>
      </c>
      <c r="E228" s="285" t="s">
        <v>266</v>
      </c>
      <c r="F228" s="285" t="s">
        <v>414</v>
      </c>
    </row>
    <row r="229" spans="2:6" ht="15" customHeight="1" x14ac:dyDescent="0.25">
      <c r="B229" s="284">
        <v>2024</v>
      </c>
      <c r="C229" s="295" t="s">
        <v>268</v>
      </c>
      <c r="D229" s="292">
        <v>5.2230073120572353E-2</v>
      </c>
      <c r="E229" s="285" t="s">
        <v>266</v>
      </c>
      <c r="F229" s="285" t="s">
        <v>415</v>
      </c>
    </row>
    <row r="230" spans="2:6" ht="15" customHeight="1" x14ac:dyDescent="0.25">
      <c r="B230" s="284">
        <v>2025</v>
      </c>
      <c r="C230" s="295" t="s">
        <v>268</v>
      </c>
      <c r="D230" s="292">
        <v>4.3579230749052338E-2</v>
      </c>
      <c r="E230" s="285" t="s">
        <v>266</v>
      </c>
      <c r="F230" s="285" t="s">
        <v>416</v>
      </c>
    </row>
    <row r="231" spans="2:6" ht="15" customHeight="1" x14ac:dyDescent="0.25">
      <c r="B231" s="284">
        <v>2026</v>
      </c>
      <c r="C231" s="295" t="s">
        <v>268</v>
      </c>
      <c r="D231" s="266"/>
      <c r="E231" s="285" t="s">
        <v>266</v>
      </c>
      <c r="F231" s="285" t="s">
        <v>417</v>
      </c>
    </row>
    <row r="232" spans="2:6" ht="15" customHeight="1" x14ac:dyDescent="0.25">
      <c r="B232" s="284">
        <v>2027</v>
      </c>
      <c r="C232" s="295" t="s">
        <v>268</v>
      </c>
      <c r="D232" s="266"/>
      <c r="E232" s="285" t="s">
        <v>266</v>
      </c>
      <c r="F232" s="285" t="s">
        <v>418</v>
      </c>
    </row>
    <row r="233" spans="2:6" ht="15" customHeight="1" x14ac:dyDescent="0.25">
      <c r="B233" s="284">
        <v>2028</v>
      </c>
      <c r="C233" s="295" t="s">
        <v>268</v>
      </c>
      <c r="D233" s="266"/>
      <c r="E233" s="285" t="s">
        <v>266</v>
      </c>
      <c r="F233" s="285" t="s">
        <v>419</v>
      </c>
    </row>
    <row r="234" spans="2:6" ht="15" customHeight="1" x14ac:dyDescent="0.25">
      <c r="B234" s="284">
        <v>2022</v>
      </c>
      <c r="C234" s="295" t="s">
        <v>269</v>
      </c>
      <c r="D234" s="292">
        <v>0.10637694721086439</v>
      </c>
      <c r="E234" s="285" t="s">
        <v>266</v>
      </c>
      <c r="F234" s="285" t="s">
        <v>462</v>
      </c>
    </row>
    <row r="235" spans="2:6" ht="15" customHeight="1" x14ac:dyDescent="0.25">
      <c r="B235" s="284">
        <v>2023</v>
      </c>
      <c r="C235" s="295" t="s">
        <v>269</v>
      </c>
      <c r="D235" s="292">
        <v>8.8439611677198327E-2</v>
      </c>
      <c r="E235" s="285" t="s">
        <v>266</v>
      </c>
      <c r="F235" s="285" t="s">
        <v>402</v>
      </c>
    </row>
    <row r="236" spans="2:6" ht="15" customHeight="1" x14ac:dyDescent="0.25">
      <c r="B236" s="284">
        <v>2024</v>
      </c>
      <c r="C236" s="295" t="s">
        <v>269</v>
      </c>
      <c r="D236" s="292">
        <v>9.018525888774255E-2</v>
      </c>
      <c r="E236" s="285" t="s">
        <v>266</v>
      </c>
      <c r="F236" s="285" t="s">
        <v>403</v>
      </c>
    </row>
    <row r="237" spans="2:6" ht="15" customHeight="1" x14ac:dyDescent="0.25">
      <c r="B237" s="284">
        <v>2025</v>
      </c>
      <c r="C237" s="295" t="s">
        <v>269</v>
      </c>
      <c r="D237" s="292">
        <v>8.9997508171927892E-2</v>
      </c>
      <c r="E237" s="285" t="s">
        <v>266</v>
      </c>
      <c r="F237" s="285" t="s">
        <v>404</v>
      </c>
    </row>
    <row r="238" spans="2:6" ht="15" customHeight="1" x14ac:dyDescent="0.25">
      <c r="B238" s="284">
        <v>2026</v>
      </c>
      <c r="C238" s="295" t="s">
        <v>269</v>
      </c>
      <c r="D238" s="266"/>
      <c r="E238" s="285" t="s">
        <v>266</v>
      </c>
      <c r="F238" s="285" t="s">
        <v>405</v>
      </c>
    </row>
    <row r="239" spans="2:6" ht="15" customHeight="1" x14ac:dyDescent="0.25">
      <c r="B239" s="284">
        <v>2027</v>
      </c>
      <c r="C239" s="295" t="s">
        <v>269</v>
      </c>
      <c r="D239" s="266"/>
      <c r="E239" s="285" t="s">
        <v>266</v>
      </c>
      <c r="F239" s="285" t="s">
        <v>406</v>
      </c>
    </row>
    <row r="240" spans="2:6" ht="15" customHeight="1" x14ac:dyDescent="0.25">
      <c r="B240" s="284">
        <v>2028</v>
      </c>
      <c r="C240" s="295" t="s">
        <v>269</v>
      </c>
      <c r="D240" s="266"/>
      <c r="E240" s="285" t="s">
        <v>266</v>
      </c>
      <c r="F240" s="285" t="s">
        <v>407</v>
      </c>
    </row>
    <row r="241" spans="2:6" ht="15" customHeight="1" x14ac:dyDescent="0.25">
      <c r="C241" s="295" t="s">
        <v>270</v>
      </c>
      <c r="D241" s="302">
        <v>0</v>
      </c>
      <c r="E241" s="285" t="s">
        <v>266</v>
      </c>
      <c r="F241" s="285" t="s">
        <v>261</v>
      </c>
    </row>
    <row r="242" spans="2:6" ht="15" customHeight="1" x14ac:dyDescent="0.25">
      <c r="B242" s="284">
        <v>2022</v>
      </c>
      <c r="C242" s="295" t="s">
        <v>271</v>
      </c>
      <c r="D242" s="301">
        <v>8.2569295647856603E-2</v>
      </c>
      <c r="E242" s="285" t="s">
        <v>266</v>
      </c>
      <c r="F242" s="285" t="s">
        <v>465</v>
      </c>
    </row>
    <row r="243" spans="2:6" ht="15" customHeight="1" x14ac:dyDescent="0.25">
      <c r="B243" s="284">
        <v>2023</v>
      </c>
      <c r="C243" s="295" t="s">
        <v>271</v>
      </c>
      <c r="D243" s="301">
        <v>5.937865974471937E-2</v>
      </c>
      <c r="E243" s="285" t="s">
        <v>266</v>
      </c>
      <c r="F243" s="285" t="s">
        <v>420</v>
      </c>
    </row>
    <row r="244" spans="2:6" ht="15" customHeight="1" x14ac:dyDescent="0.25">
      <c r="B244" s="284">
        <v>2024</v>
      </c>
      <c r="C244" s="295" t="s">
        <v>271</v>
      </c>
      <c r="D244" s="292">
        <v>5.6482525113800496E-2</v>
      </c>
      <c r="E244" s="285" t="s">
        <v>266</v>
      </c>
      <c r="F244" s="285" t="s">
        <v>421</v>
      </c>
    </row>
    <row r="245" spans="2:6" ht="15" customHeight="1" x14ac:dyDescent="0.25">
      <c r="B245" s="284">
        <v>2025</v>
      </c>
      <c r="C245" s="295" t="s">
        <v>271</v>
      </c>
      <c r="D245" s="301">
        <v>6.2289847740875252E-2</v>
      </c>
      <c r="E245" s="285" t="s">
        <v>266</v>
      </c>
      <c r="F245" s="285" t="s">
        <v>422</v>
      </c>
    </row>
    <row r="246" spans="2:6" ht="15" customHeight="1" x14ac:dyDescent="0.25">
      <c r="B246" s="284">
        <v>2026</v>
      </c>
      <c r="C246" s="295" t="s">
        <v>271</v>
      </c>
      <c r="D246" s="266"/>
      <c r="E246" s="285" t="s">
        <v>266</v>
      </c>
      <c r="F246" s="285" t="s">
        <v>423</v>
      </c>
    </row>
    <row r="247" spans="2:6" ht="15" customHeight="1" x14ac:dyDescent="0.25">
      <c r="B247" s="284">
        <v>2027</v>
      </c>
      <c r="C247" s="295" t="s">
        <v>271</v>
      </c>
      <c r="D247" s="266"/>
      <c r="E247" s="285" t="s">
        <v>266</v>
      </c>
      <c r="F247" s="285" t="s">
        <v>424</v>
      </c>
    </row>
    <row r="248" spans="2:6" ht="15" customHeight="1" x14ac:dyDescent="0.25">
      <c r="B248" s="284">
        <v>2028</v>
      </c>
      <c r="C248" s="295" t="s">
        <v>271</v>
      </c>
      <c r="D248" s="266"/>
      <c r="E248" s="285" t="s">
        <v>266</v>
      </c>
      <c r="F248" s="285" t="s">
        <v>425</v>
      </c>
    </row>
    <row r="249" spans="2:6" ht="15" customHeight="1" x14ac:dyDescent="0.25">
      <c r="B249" s="284">
        <v>2022</v>
      </c>
      <c r="C249" s="295" t="s">
        <v>272</v>
      </c>
      <c r="D249" s="301">
        <v>1.8738000000000001E-2</v>
      </c>
      <c r="E249" s="285" t="s">
        <v>266</v>
      </c>
      <c r="F249" s="285" t="s">
        <v>466</v>
      </c>
    </row>
    <row r="250" spans="2:6" ht="15" customHeight="1" x14ac:dyDescent="0.25">
      <c r="B250" s="284">
        <v>2023</v>
      </c>
      <c r="C250" s="295" t="s">
        <v>272</v>
      </c>
      <c r="D250" s="301">
        <v>1.8710813959731544E-2</v>
      </c>
      <c r="E250" s="285" t="s">
        <v>266</v>
      </c>
      <c r="F250" s="285" t="s">
        <v>273</v>
      </c>
    </row>
    <row r="251" spans="2:6" ht="15" customHeight="1" x14ac:dyDescent="0.25">
      <c r="B251" s="284">
        <v>2024</v>
      </c>
      <c r="C251" s="295" t="s">
        <v>272</v>
      </c>
      <c r="D251" s="301">
        <v>1.8710000000000001E-2</v>
      </c>
      <c r="E251" s="285" t="s">
        <v>266</v>
      </c>
      <c r="F251" s="285" t="s">
        <v>274</v>
      </c>
    </row>
    <row r="252" spans="2:6" ht="15" customHeight="1" x14ac:dyDescent="0.25">
      <c r="B252" s="284">
        <v>2025</v>
      </c>
      <c r="C252" s="295" t="s">
        <v>272</v>
      </c>
      <c r="D252" s="292">
        <v>1.8710000000000001E-2</v>
      </c>
      <c r="E252" s="285" t="s">
        <v>266</v>
      </c>
      <c r="F252" s="285" t="s">
        <v>275</v>
      </c>
    </row>
    <row r="253" spans="2:6" ht="15" customHeight="1" x14ac:dyDescent="0.25">
      <c r="B253" s="284">
        <v>2026</v>
      </c>
      <c r="C253" s="295" t="s">
        <v>272</v>
      </c>
      <c r="D253" s="266"/>
      <c r="E253" s="285" t="s">
        <v>266</v>
      </c>
      <c r="F253" s="285" t="s">
        <v>276</v>
      </c>
    </row>
    <row r="254" spans="2:6" ht="15" customHeight="1" x14ac:dyDescent="0.25">
      <c r="B254" s="284">
        <v>2027</v>
      </c>
      <c r="C254" s="295" t="s">
        <v>272</v>
      </c>
      <c r="D254" s="266"/>
      <c r="E254" s="285" t="s">
        <v>266</v>
      </c>
      <c r="F254" s="285" t="s">
        <v>277</v>
      </c>
    </row>
    <row r="255" spans="2:6" ht="15" customHeight="1" x14ac:dyDescent="0.25">
      <c r="B255" s="284">
        <v>2028</v>
      </c>
      <c r="C255" s="295" t="s">
        <v>272</v>
      </c>
      <c r="D255" s="266"/>
      <c r="E255" s="285" t="s">
        <v>266</v>
      </c>
      <c r="F255" s="285" t="s">
        <v>278</v>
      </c>
    </row>
    <row r="256" spans="2:6" ht="15" customHeight="1" x14ac:dyDescent="0.25">
      <c r="B256" s="284">
        <v>2022</v>
      </c>
      <c r="C256" s="295" t="s">
        <v>279</v>
      </c>
      <c r="D256" s="522">
        <v>0.15353000000000003</v>
      </c>
      <c r="E256" s="286" t="s">
        <v>280</v>
      </c>
      <c r="F256" s="286" t="s">
        <v>467</v>
      </c>
    </row>
    <row r="257" spans="2:6" ht="15" customHeight="1" x14ac:dyDescent="0.25">
      <c r="B257" s="284">
        <v>2023</v>
      </c>
      <c r="C257" s="295" t="s">
        <v>279</v>
      </c>
      <c r="D257" s="301">
        <v>0.1859171395973154</v>
      </c>
      <c r="E257" s="285" t="s">
        <v>280</v>
      </c>
      <c r="F257" s="285" t="s">
        <v>281</v>
      </c>
    </row>
    <row r="258" spans="2:6" ht="15" customHeight="1" x14ac:dyDescent="0.25">
      <c r="B258" s="284">
        <v>2024</v>
      </c>
      <c r="C258" s="295" t="s">
        <v>279</v>
      </c>
      <c r="D258" s="301">
        <v>0.18592</v>
      </c>
      <c r="E258" s="285" t="s">
        <v>280</v>
      </c>
      <c r="F258" s="285" t="s">
        <v>282</v>
      </c>
    </row>
    <row r="259" spans="2:6" ht="15" customHeight="1" x14ac:dyDescent="0.25">
      <c r="B259" s="284">
        <v>2025</v>
      </c>
      <c r="C259" s="295" t="s">
        <v>279</v>
      </c>
      <c r="D259" s="292">
        <v>0.12786</v>
      </c>
      <c r="E259" s="285" t="s">
        <v>280</v>
      </c>
      <c r="F259" s="285" t="s">
        <v>283</v>
      </c>
    </row>
    <row r="260" spans="2:6" ht="15" customHeight="1" x14ac:dyDescent="0.25">
      <c r="B260" s="284">
        <v>2026</v>
      </c>
      <c r="C260" s="295" t="s">
        <v>279</v>
      </c>
      <c r="D260" s="266"/>
      <c r="E260" s="285" t="s">
        <v>280</v>
      </c>
      <c r="F260" s="285" t="s">
        <v>284</v>
      </c>
    </row>
    <row r="261" spans="2:6" ht="15" customHeight="1" x14ac:dyDescent="0.25">
      <c r="B261" s="284">
        <v>2027</v>
      </c>
      <c r="C261" s="295" t="s">
        <v>279</v>
      </c>
      <c r="D261" s="266"/>
      <c r="E261" s="285" t="s">
        <v>280</v>
      </c>
      <c r="F261" s="285" t="s">
        <v>285</v>
      </c>
    </row>
    <row r="262" spans="2:6" ht="15" customHeight="1" x14ac:dyDescent="0.25">
      <c r="B262" s="284">
        <v>2028</v>
      </c>
      <c r="C262" s="295" t="s">
        <v>279</v>
      </c>
      <c r="D262" s="266"/>
      <c r="E262" s="285" t="s">
        <v>280</v>
      </c>
      <c r="F262" s="285" t="s">
        <v>286</v>
      </c>
    </row>
    <row r="263" spans="2:6" ht="15" customHeight="1" x14ac:dyDescent="0.25">
      <c r="B263" s="326"/>
      <c r="C263" s="285" t="s">
        <v>287</v>
      </c>
      <c r="D263" s="303">
        <v>0</v>
      </c>
      <c r="E263" s="285" t="s">
        <v>266</v>
      </c>
      <c r="F263" s="285" t="s">
        <v>261</v>
      </c>
    </row>
    <row r="264" spans="2:6" ht="15" customHeight="1" x14ac:dyDescent="0.25">
      <c r="B264" s="326"/>
      <c r="C264" s="285" t="s">
        <v>133</v>
      </c>
      <c r="D264" s="303">
        <v>0</v>
      </c>
      <c r="E264" s="285" t="s">
        <v>288</v>
      </c>
      <c r="F264" s="285" t="s">
        <v>261</v>
      </c>
    </row>
    <row r="265" spans="2:6" ht="15" customHeight="1" x14ac:dyDescent="0.25">
      <c r="B265" s="284">
        <v>2022</v>
      </c>
      <c r="C265" s="286" t="s">
        <v>289</v>
      </c>
      <c r="D265" s="301">
        <f>segajääk_2022*0.0124</f>
        <v>7.8987999999999992E-3</v>
      </c>
      <c r="E265" s="284" t="s">
        <v>256</v>
      </c>
      <c r="F265" s="285" t="s">
        <v>290</v>
      </c>
    </row>
    <row r="266" spans="2:6" ht="15" customHeight="1" x14ac:dyDescent="0.25">
      <c r="B266" s="284">
        <v>2023</v>
      </c>
      <c r="C266" s="286" t="s">
        <v>289</v>
      </c>
      <c r="D266" s="301">
        <f>segajääk_2023*0.0124</f>
        <v>8.8682320000000002E-3</v>
      </c>
      <c r="E266" s="284" t="s">
        <v>256</v>
      </c>
      <c r="F266" s="285" t="s">
        <v>290</v>
      </c>
    </row>
    <row r="267" spans="2:6" ht="15" customHeight="1" x14ac:dyDescent="0.25">
      <c r="B267" s="284">
        <v>2024</v>
      </c>
      <c r="C267" s="286" t="s">
        <v>289</v>
      </c>
      <c r="D267" s="301">
        <f>segajääk_2024*0.0124</f>
        <v>8.8245839999999999E-3</v>
      </c>
      <c r="E267" s="284" t="s">
        <v>256</v>
      </c>
      <c r="F267" s="285" t="s">
        <v>290</v>
      </c>
    </row>
    <row r="268" spans="2:6" ht="15" customHeight="1" x14ac:dyDescent="0.25">
      <c r="B268" s="284">
        <v>2025</v>
      </c>
      <c r="C268" s="286" t="s">
        <v>289</v>
      </c>
      <c r="D268" s="301">
        <f>segajääk_2025*0.0124</f>
        <v>7.5883039999999988E-3</v>
      </c>
      <c r="E268" s="284" t="s">
        <v>256</v>
      </c>
      <c r="F268" s="285" t="s">
        <v>290</v>
      </c>
    </row>
    <row r="269" spans="2:6" ht="15" customHeight="1" x14ac:dyDescent="0.25">
      <c r="B269" s="284">
        <v>2026</v>
      </c>
      <c r="C269" s="286" t="s">
        <v>289</v>
      </c>
      <c r="D269" s="301">
        <f>segajääk_2026*0.0124</f>
        <v>0</v>
      </c>
      <c r="E269" s="284" t="s">
        <v>256</v>
      </c>
      <c r="F269" s="285" t="s">
        <v>290</v>
      </c>
    </row>
    <row r="270" spans="2:6" ht="15" customHeight="1" x14ac:dyDescent="0.25">
      <c r="B270" s="284">
        <v>2027</v>
      </c>
      <c r="C270" s="286" t="s">
        <v>289</v>
      </c>
      <c r="D270" s="301">
        <f>segajääk_2027*0.0124</f>
        <v>0</v>
      </c>
      <c r="E270" s="284" t="s">
        <v>256</v>
      </c>
      <c r="F270" s="285" t="s">
        <v>290</v>
      </c>
    </row>
    <row r="271" spans="2:6" ht="15" customHeight="1" x14ac:dyDescent="0.25">
      <c r="B271" s="284">
        <v>2028</v>
      </c>
      <c r="C271" s="286" t="s">
        <v>289</v>
      </c>
      <c r="D271" s="301">
        <f>segajääk_2028*0.0124</f>
        <v>0</v>
      </c>
      <c r="E271" s="284" t="s">
        <v>256</v>
      </c>
      <c r="F271" s="285" t="s">
        <v>290</v>
      </c>
    </row>
    <row r="272" spans="2:6" ht="15" customHeight="1" x14ac:dyDescent="0.25">
      <c r="B272" s="326"/>
      <c r="C272" s="295" t="s">
        <v>291</v>
      </c>
      <c r="D272" s="301">
        <v>0</v>
      </c>
      <c r="E272" s="284" t="s">
        <v>256</v>
      </c>
      <c r="F272" s="285" t="s">
        <v>261</v>
      </c>
    </row>
    <row r="273" spans="2:6" ht="15" customHeight="1" x14ac:dyDescent="0.25">
      <c r="B273" s="326"/>
      <c r="C273" s="295" t="s">
        <v>292</v>
      </c>
      <c r="D273" s="266">
        <v>0</v>
      </c>
      <c r="E273" s="285" t="s">
        <v>288</v>
      </c>
      <c r="F273" s="317" t="s">
        <v>293</v>
      </c>
    </row>
    <row r="274" spans="2:6" ht="15" customHeight="1" x14ac:dyDescent="0.25">
      <c r="D274" s="2"/>
    </row>
    <row r="275" spans="2:6" ht="15" customHeight="1" x14ac:dyDescent="0.25">
      <c r="D275" s="2"/>
    </row>
    <row r="276" spans="2:6" ht="15" customHeight="1" x14ac:dyDescent="0.25">
      <c r="B276" s="475" t="s">
        <v>294</v>
      </c>
      <c r="C276" s="476"/>
      <c r="D276" s="304"/>
      <c r="E276" s="305"/>
      <c r="F276" s="2"/>
    </row>
    <row r="277" spans="2:6" ht="15" customHeight="1" x14ac:dyDescent="0.25">
      <c r="B277" s="478" t="s">
        <v>192</v>
      </c>
      <c r="C277" s="478" t="s">
        <v>254</v>
      </c>
      <c r="D277" s="495" t="s">
        <v>194</v>
      </c>
      <c r="E277" s="479" t="s">
        <v>195</v>
      </c>
      <c r="F277" s="482" t="s">
        <v>196</v>
      </c>
    </row>
    <row r="278" spans="2:6" ht="15" customHeight="1" x14ac:dyDescent="0.25">
      <c r="B278" s="284">
        <v>2022</v>
      </c>
      <c r="C278" s="285" t="s">
        <v>295</v>
      </c>
      <c r="D278" s="306">
        <v>0.23108569800628181</v>
      </c>
      <c r="E278" s="285" t="s">
        <v>256</v>
      </c>
      <c r="F278" s="285" t="s">
        <v>459</v>
      </c>
    </row>
    <row r="279" spans="2:6" ht="15" customHeight="1" x14ac:dyDescent="0.25">
      <c r="B279" s="284">
        <v>2023</v>
      </c>
      <c r="C279" s="285" t="s">
        <v>295</v>
      </c>
      <c r="D279" s="306">
        <v>0.23222495830655096</v>
      </c>
      <c r="E279" s="285" t="s">
        <v>256</v>
      </c>
      <c r="F279" s="285" t="s">
        <v>395</v>
      </c>
    </row>
    <row r="280" spans="2:6" ht="15" customHeight="1" x14ac:dyDescent="0.25">
      <c r="B280" s="284">
        <v>2024</v>
      </c>
      <c r="C280" s="285" t="s">
        <v>295</v>
      </c>
      <c r="D280" s="306">
        <v>0.20855778494773294</v>
      </c>
      <c r="E280" s="285" t="s">
        <v>256</v>
      </c>
      <c r="F280" s="285" t="s">
        <v>391</v>
      </c>
    </row>
    <row r="281" spans="2:6" ht="15" customHeight="1" x14ac:dyDescent="0.25">
      <c r="B281" s="284">
        <v>2025</v>
      </c>
      <c r="C281" s="285" t="s">
        <v>295</v>
      </c>
      <c r="D281" s="306">
        <v>0.20604924521493623</v>
      </c>
      <c r="E281" s="285" t="s">
        <v>256</v>
      </c>
      <c r="F281" s="285" t="s">
        <v>388</v>
      </c>
    </row>
    <row r="282" spans="2:6" ht="15" customHeight="1" x14ac:dyDescent="0.25">
      <c r="B282" s="284">
        <v>2026</v>
      </c>
      <c r="C282" s="285" t="s">
        <v>295</v>
      </c>
      <c r="D282" s="306"/>
      <c r="E282" s="285" t="s">
        <v>256</v>
      </c>
      <c r="F282" s="285" t="s">
        <v>389</v>
      </c>
    </row>
    <row r="283" spans="2:6" ht="15" customHeight="1" x14ac:dyDescent="0.25">
      <c r="B283" s="284">
        <v>2027</v>
      </c>
      <c r="C283" s="285" t="s">
        <v>295</v>
      </c>
      <c r="D283" s="306"/>
      <c r="E283" s="285" t="s">
        <v>256</v>
      </c>
      <c r="F283" s="285" t="s">
        <v>390</v>
      </c>
    </row>
    <row r="284" spans="2:6" ht="15" customHeight="1" x14ac:dyDescent="0.25">
      <c r="B284" s="284">
        <v>2028</v>
      </c>
      <c r="C284" s="285" t="s">
        <v>295</v>
      </c>
      <c r="D284" s="306"/>
      <c r="E284" s="285" t="s">
        <v>256</v>
      </c>
      <c r="F284" s="285" t="s">
        <v>386</v>
      </c>
    </row>
    <row r="285" spans="2:6" ht="15" customHeight="1" x14ac:dyDescent="0.25">
      <c r="B285" s="284">
        <v>2022</v>
      </c>
      <c r="C285" s="295" t="s">
        <v>296</v>
      </c>
      <c r="D285" s="292">
        <f>transport_kaubik_bensiin_km_2022/1.2</f>
        <v>0.19257141500523486</v>
      </c>
      <c r="E285" s="285" t="s">
        <v>297</v>
      </c>
      <c r="F285" s="285" t="s">
        <v>298</v>
      </c>
    </row>
    <row r="286" spans="2:6" ht="15" customHeight="1" x14ac:dyDescent="0.25">
      <c r="B286" s="284">
        <v>2023</v>
      </c>
      <c r="C286" s="295" t="s">
        <v>296</v>
      </c>
      <c r="D286" s="292">
        <f>transport_kaubik_bensiin_km_2023/1.2</f>
        <v>0.19352079858879248</v>
      </c>
      <c r="E286" s="285" t="s">
        <v>297</v>
      </c>
      <c r="F286" s="285" t="s">
        <v>298</v>
      </c>
    </row>
    <row r="287" spans="2:6" ht="15" customHeight="1" x14ac:dyDescent="0.25">
      <c r="B287" s="284">
        <v>2024</v>
      </c>
      <c r="C287" s="295" t="s">
        <v>296</v>
      </c>
      <c r="D287" s="292">
        <f>transport_kaubik_bensiin_km_2024/1.2</f>
        <v>0.17379815412311078</v>
      </c>
      <c r="E287" s="285" t="s">
        <v>297</v>
      </c>
      <c r="F287" s="285" t="s">
        <v>298</v>
      </c>
    </row>
    <row r="288" spans="2:6" ht="15" customHeight="1" x14ac:dyDescent="0.25">
      <c r="B288" s="284">
        <v>2025</v>
      </c>
      <c r="C288" s="295" t="s">
        <v>296</v>
      </c>
      <c r="D288" s="292">
        <f>transport_kaubik_bensiin_km_2025/1.2</f>
        <v>0.1717077043457802</v>
      </c>
      <c r="E288" s="285" t="s">
        <v>297</v>
      </c>
      <c r="F288" s="285" t="s">
        <v>298</v>
      </c>
    </row>
    <row r="289" spans="2:6" ht="15" customHeight="1" x14ac:dyDescent="0.25">
      <c r="B289" s="284">
        <v>2026</v>
      </c>
      <c r="C289" s="295" t="s">
        <v>296</v>
      </c>
      <c r="D289" s="292">
        <f>transport_kaubik_bensiin_km_2026/1.2</f>
        <v>0</v>
      </c>
      <c r="E289" s="285" t="s">
        <v>297</v>
      </c>
      <c r="F289" s="285" t="s">
        <v>298</v>
      </c>
    </row>
    <row r="290" spans="2:6" ht="15" customHeight="1" x14ac:dyDescent="0.25">
      <c r="B290" s="284">
        <v>2027</v>
      </c>
      <c r="C290" s="295" t="s">
        <v>296</v>
      </c>
      <c r="D290" s="292">
        <f>transport_kaubik_bensiin_km_2027/1.2</f>
        <v>0</v>
      </c>
      <c r="E290" s="285" t="s">
        <v>297</v>
      </c>
      <c r="F290" s="285" t="s">
        <v>298</v>
      </c>
    </row>
    <row r="291" spans="2:6" ht="15" customHeight="1" x14ac:dyDescent="0.25">
      <c r="B291" s="284">
        <v>2028</v>
      </c>
      <c r="C291" s="295" t="s">
        <v>296</v>
      </c>
      <c r="D291" s="292">
        <f>transport_kaubik_bensiin_km_2028/1.2</f>
        <v>0</v>
      </c>
      <c r="E291" s="285" t="s">
        <v>297</v>
      </c>
      <c r="F291" s="285" t="s">
        <v>298</v>
      </c>
    </row>
    <row r="292" spans="2:6" ht="15" customHeight="1" x14ac:dyDescent="0.25">
      <c r="B292" s="284">
        <v>2022</v>
      </c>
      <c r="C292" s="295" t="s">
        <v>299</v>
      </c>
      <c r="D292" s="292">
        <v>0.21482302218350141</v>
      </c>
      <c r="E292" s="285" t="s">
        <v>256</v>
      </c>
      <c r="F292" s="285" t="s">
        <v>459</v>
      </c>
    </row>
    <row r="293" spans="2:6" ht="15" customHeight="1" x14ac:dyDescent="0.25">
      <c r="B293" s="284">
        <v>2023</v>
      </c>
      <c r="C293" s="295" t="s">
        <v>299</v>
      </c>
      <c r="D293" s="292">
        <v>0.23138392733813293</v>
      </c>
      <c r="E293" s="285" t="s">
        <v>256</v>
      </c>
      <c r="F293" s="285" t="s">
        <v>395</v>
      </c>
    </row>
    <row r="294" spans="2:6" ht="15" customHeight="1" x14ac:dyDescent="0.25">
      <c r="B294" s="284">
        <v>2024</v>
      </c>
      <c r="C294" s="295" t="s">
        <v>299</v>
      </c>
      <c r="D294" s="292">
        <v>0.21970497654363919</v>
      </c>
      <c r="E294" s="285" t="s">
        <v>256</v>
      </c>
      <c r="F294" s="285" t="s">
        <v>391</v>
      </c>
    </row>
    <row r="295" spans="2:6" ht="15" customHeight="1" x14ac:dyDescent="0.25">
      <c r="B295" s="284">
        <v>2025</v>
      </c>
      <c r="C295" s="295" t="s">
        <v>299</v>
      </c>
      <c r="D295" s="292">
        <v>0.22541514284071451</v>
      </c>
      <c r="E295" s="285" t="s">
        <v>256</v>
      </c>
      <c r="F295" s="285" t="s">
        <v>388</v>
      </c>
    </row>
    <row r="296" spans="2:6" ht="15" customHeight="1" x14ac:dyDescent="0.25">
      <c r="B296" s="284">
        <v>2026</v>
      </c>
      <c r="C296" s="295" t="s">
        <v>299</v>
      </c>
      <c r="D296" s="292"/>
      <c r="E296" s="285" t="s">
        <v>256</v>
      </c>
      <c r="F296" s="285" t="s">
        <v>389</v>
      </c>
    </row>
    <row r="297" spans="2:6" ht="15" customHeight="1" x14ac:dyDescent="0.25">
      <c r="B297" s="284">
        <v>2027</v>
      </c>
      <c r="C297" s="295" t="s">
        <v>299</v>
      </c>
      <c r="D297" s="292"/>
      <c r="E297" s="285" t="s">
        <v>256</v>
      </c>
      <c r="F297" s="285" t="s">
        <v>390</v>
      </c>
    </row>
    <row r="298" spans="2:6" ht="15" customHeight="1" x14ac:dyDescent="0.25">
      <c r="B298" s="284">
        <v>2028</v>
      </c>
      <c r="C298" s="295" t="s">
        <v>299</v>
      </c>
      <c r="D298" s="292"/>
      <c r="E298" s="285" t="s">
        <v>256</v>
      </c>
      <c r="F298" s="285" t="s">
        <v>386</v>
      </c>
    </row>
    <row r="299" spans="2:6" ht="15" customHeight="1" x14ac:dyDescent="0.25">
      <c r="B299" s="284">
        <v>2022</v>
      </c>
      <c r="C299" s="295" t="s">
        <v>300</v>
      </c>
      <c r="D299" s="292">
        <f>transport_kaubik_diisel_km_2022/1.2</f>
        <v>0.17901918515291784</v>
      </c>
      <c r="E299" s="285" t="s">
        <v>297</v>
      </c>
      <c r="F299" s="285" t="s">
        <v>298</v>
      </c>
    </row>
    <row r="300" spans="2:6" ht="15" customHeight="1" x14ac:dyDescent="0.25">
      <c r="B300" s="284">
        <v>2023</v>
      </c>
      <c r="C300" s="295" t="s">
        <v>300</v>
      </c>
      <c r="D300" s="292">
        <f>transport_kaubik_diisel_km_2023/1.2</f>
        <v>0.19281993944844411</v>
      </c>
      <c r="E300" s="285" t="s">
        <v>297</v>
      </c>
      <c r="F300" s="285" t="s">
        <v>298</v>
      </c>
    </row>
    <row r="301" spans="2:6" ht="15" customHeight="1" x14ac:dyDescent="0.25">
      <c r="B301" s="284">
        <v>2024</v>
      </c>
      <c r="C301" s="295" t="s">
        <v>300</v>
      </c>
      <c r="D301" s="292">
        <f>transport_kaubik_diisel_km_2024/1.2</f>
        <v>0.18308748045303266</v>
      </c>
      <c r="E301" s="285" t="s">
        <v>297</v>
      </c>
      <c r="F301" s="285" t="s">
        <v>298</v>
      </c>
    </row>
    <row r="302" spans="2:6" ht="15" customHeight="1" x14ac:dyDescent="0.25">
      <c r="B302" s="284">
        <v>2025</v>
      </c>
      <c r="C302" s="295" t="s">
        <v>300</v>
      </c>
      <c r="D302" s="292">
        <f>transport_kaubik_diisel_km_2025/1.2</f>
        <v>0.18784595236726209</v>
      </c>
      <c r="E302" s="285" t="s">
        <v>297</v>
      </c>
      <c r="F302" s="285" t="s">
        <v>298</v>
      </c>
    </row>
    <row r="303" spans="2:6" ht="15" customHeight="1" x14ac:dyDescent="0.25">
      <c r="B303" s="284">
        <v>2026</v>
      </c>
      <c r="C303" s="295" t="s">
        <v>300</v>
      </c>
      <c r="D303" s="292">
        <f>transport_kaubik_diisel_km_2026/1.2</f>
        <v>0</v>
      </c>
      <c r="E303" s="285" t="s">
        <v>297</v>
      </c>
      <c r="F303" s="285" t="s">
        <v>298</v>
      </c>
    </row>
    <row r="304" spans="2:6" ht="15" customHeight="1" x14ac:dyDescent="0.25">
      <c r="B304" s="284">
        <v>2027</v>
      </c>
      <c r="C304" s="295" t="s">
        <v>300</v>
      </c>
      <c r="D304" s="292">
        <f>transport_kaubik_diisel_km_2027/1.2</f>
        <v>0</v>
      </c>
      <c r="E304" s="285" t="s">
        <v>297</v>
      </c>
      <c r="F304" s="285" t="s">
        <v>298</v>
      </c>
    </row>
    <row r="305" spans="2:6" ht="15" customHeight="1" x14ac:dyDescent="0.25">
      <c r="B305" s="284">
        <v>2028</v>
      </c>
      <c r="C305" s="295" t="s">
        <v>300</v>
      </c>
      <c r="D305" s="292">
        <f>transport_kaubik_diisel_km_2028/1.2</f>
        <v>0</v>
      </c>
      <c r="E305" s="285" t="s">
        <v>297</v>
      </c>
      <c r="F305" s="285" t="s">
        <v>298</v>
      </c>
    </row>
    <row r="306" spans="2:6" ht="15" customHeight="1" x14ac:dyDescent="0.25">
      <c r="C306" s="295" t="s">
        <v>301</v>
      </c>
      <c r="D306" s="292">
        <v>0</v>
      </c>
      <c r="E306" s="285" t="s">
        <v>256</v>
      </c>
      <c r="F306" s="285" t="s">
        <v>261</v>
      </c>
    </row>
    <row r="307" spans="2:6" ht="15" customHeight="1" x14ac:dyDescent="0.25">
      <c r="C307" s="295" t="s">
        <v>302</v>
      </c>
      <c r="D307" s="292">
        <v>0</v>
      </c>
      <c r="E307" s="285" t="s">
        <v>297</v>
      </c>
      <c r="F307" s="285" t="s">
        <v>261</v>
      </c>
    </row>
    <row r="308" spans="2:6" ht="15" customHeight="1" x14ac:dyDescent="0.25">
      <c r="B308" s="284">
        <v>2022</v>
      </c>
      <c r="C308" s="295" t="s">
        <v>303</v>
      </c>
      <c r="D308" s="292">
        <f>segajääk_2022*0.25</f>
        <v>0.15925</v>
      </c>
      <c r="E308" s="285" t="s">
        <v>256</v>
      </c>
      <c r="F308" s="285" t="s">
        <v>304</v>
      </c>
    </row>
    <row r="309" spans="2:6" ht="15" customHeight="1" x14ac:dyDescent="0.25">
      <c r="B309" s="284">
        <v>2023</v>
      </c>
      <c r="C309" s="295" t="s">
        <v>303</v>
      </c>
      <c r="D309" s="292">
        <f>segajääk_2023*0.25</f>
        <v>0.17879500000000001</v>
      </c>
      <c r="E309" s="285" t="s">
        <v>256</v>
      </c>
      <c r="F309" s="285" t="s">
        <v>304</v>
      </c>
    </row>
    <row r="310" spans="2:6" ht="15" customHeight="1" x14ac:dyDescent="0.25">
      <c r="B310" s="284">
        <v>2024</v>
      </c>
      <c r="C310" s="295" t="s">
        <v>303</v>
      </c>
      <c r="D310" s="292">
        <f>segajääk_2024*0.25</f>
        <v>0.17791499999999999</v>
      </c>
      <c r="E310" s="285" t="s">
        <v>256</v>
      </c>
      <c r="F310" s="285" t="s">
        <v>304</v>
      </c>
    </row>
    <row r="311" spans="2:6" ht="15" customHeight="1" x14ac:dyDescent="0.25">
      <c r="B311" s="284">
        <v>2025</v>
      </c>
      <c r="C311" s="295" t="s">
        <v>303</v>
      </c>
      <c r="D311" s="292">
        <f>segajääk_2025*0.25</f>
        <v>0.15298999999999999</v>
      </c>
      <c r="E311" s="285" t="s">
        <v>256</v>
      </c>
      <c r="F311" s="285" t="s">
        <v>304</v>
      </c>
    </row>
    <row r="312" spans="2:6" ht="15" customHeight="1" x14ac:dyDescent="0.25">
      <c r="B312" s="284">
        <v>2026</v>
      </c>
      <c r="C312" s="295" t="s">
        <v>303</v>
      </c>
      <c r="D312" s="292">
        <f>segajääk_2026*0.25</f>
        <v>0</v>
      </c>
      <c r="E312" s="285" t="s">
        <v>256</v>
      </c>
      <c r="F312" s="285" t="s">
        <v>304</v>
      </c>
    </row>
    <row r="313" spans="2:6" ht="15" customHeight="1" x14ac:dyDescent="0.25">
      <c r="B313" s="284">
        <v>2027</v>
      </c>
      <c r="C313" s="295" t="s">
        <v>303</v>
      </c>
      <c r="D313" s="292">
        <f>segajääk_2027*0.25</f>
        <v>0</v>
      </c>
      <c r="E313" s="285" t="s">
        <v>256</v>
      </c>
      <c r="F313" s="285" t="s">
        <v>304</v>
      </c>
    </row>
    <row r="314" spans="2:6" ht="15" customHeight="1" x14ac:dyDescent="0.25">
      <c r="B314" s="284">
        <v>2028</v>
      </c>
      <c r="C314" s="295" t="s">
        <v>303</v>
      </c>
      <c r="D314" s="292">
        <f>segajääk_2028*0.25</f>
        <v>0</v>
      </c>
      <c r="E314" s="285" t="s">
        <v>256</v>
      </c>
      <c r="F314" s="285" t="s">
        <v>304</v>
      </c>
    </row>
    <row r="315" spans="2:6" ht="15" customHeight="1" x14ac:dyDescent="0.25">
      <c r="B315" s="284">
        <v>2022</v>
      </c>
      <c r="C315" s="295" t="s">
        <v>305</v>
      </c>
      <c r="D315" s="292">
        <f>transport_kaubik_tavaelekter_km_2022/1.2</f>
        <v>0.13270833333333334</v>
      </c>
      <c r="E315" s="285" t="s">
        <v>297</v>
      </c>
      <c r="F315" s="285" t="s">
        <v>306</v>
      </c>
    </row>
    <row r="316" spans="2:6" ht="15" customHeight="1" x14ac:dyDescent="0.25">
      <c r="B316" s="284">
        <v>2023</v>
      </c>
      <c r="C316" s="295" t="s">
        <v>305</v>
      </c>
      <c r="D316" s="292">
        <f>transport_kaubik_tavaelekter_km_2023/1.2</f>
        <v>0.14899583333333336</v>
      </c>
      <c r="E316" s="285" t="s">
        <v>297</v>
      </c>
      <c r="F316" s="285" t="s">
        <v>306</v>
      </c>
    </row>
    <row r="317" spans="2:6" ht="15" customHeight="1" x14ac:dyDescent="0.25">
      <c r="B317" s="284">
        <v>2024</v>
      </c>
      <c r="C317" s="295" t="s">
        <v>305</v>
      </c>
      <c r="D317" s="292">
        <f>transport_kaubik_tavaelekter_km_2024/1.2</f>
        <v>0.14826249999999999</v>
      </c>
      <c r="E317" s="285" t="s">
        <v>297</v>
      </c>
      <c r="F317" s="285" t="s">
        <v>306</v>
      </c>
    </row>
    <row r="318" spans="2:6" ht="15" customHeight="1" x14ac:dyDescent="0.25">
      <c r="B318" s="284">
        <v>2025</v>
      </c>
      <c r="C318" s="295" t="s">
        <v>305</v>
      </c>
      <c r="D318" s="292">
        <f>transport_kaubik_tavaelekter_km_2025/1.2</f>
        <v>0.12749166666666667</v>
      </c>
      <c r="E318" s="285" t="s">
        <v>297</v>
      </c>
      <c r="F318" s="285" t="s">
        <v>306</v>
      </c>
    </row>
    <row r="319" spans="2:6" ht="15" customHeight="1" x14ac:dyDescent="0.25">
      <c r="B319" s="284">
        <v>2026</v>
      </c>
      <c r="C319" s="295" t="s">
        <v>305</v>
      </c>
      <c r="D319" s="292">
        <f>transport_kaubik_tavaelekter_km_2026/1.2</f>
        <v>0</v>
      </c>
      <c r="E319" s="285" t="s">
        <v>297</v>
      </c>
      <c r="F319" s="285" t="s">
        <v>306</v>
      </c>
    </row>
    <row r="320" spans="2:6" ht="15" customHeight="1" x14ac:dyDescent="0.25">
      <c r="B320" s="284">
        <v>2027</v>
      </c>
      <c r="C320" s="295" t="s">
        <v>305</v>
      </c>
      <c r="D320" s="292">
        <f>transport_kaubik_tavaelekter_km_2027/1.2</f>
        <v>0</v>
      </c>
      <c r="E320" s="285" t="s">
        <v>297</v>
      </c>
      <c r="F320" s="285" t="s">
        <v>306</v>
      </c>
    </row>
    <row r="321" spans="2:6" ht="15" customHeight="1" x14ac:dyDescent="0.25">
      <c r="B321" s="284">
        <v>2028</v>
      </c>
      <c r="C321" s="295" t="s">
        <v>305</v>
      </c>
      <c r="D321" s="292">
        <f>transport_kaubik_tavaelekter_km_2028/1.2</f>
        <v>0</v>
      </c>
      <c r="E321" s="285" t="s">
        <v>297</v>
      </c>
      <c r="F321" s="285" t="s">
        <v>306</v>
      </c>
    </row>
    <row r="322" spans="2:6" ht="15" customHeight="1" x14ac:dyDescent="0.25">
      <c r="B322" s="284">
        <v>2022</v>
      </c>
      <c r="C322" s="285" t="s">
        <v>307</v>
      </c>
      <c r="D322" s="306">
        <v>0.66140608054688732</v>
      </c>
      <c r="E322" s="285" t="s">
        <v>256</v>
      </c>
      <c r="F322" s="285" t="s">
        <v>468</v>
      </c>
    </row>
    <row r="323" spans="2:6" ht="15" customHeight="1" x14ac:dyDescent="0.25">
      <c r="B323" s="284">
        <v>2023</v>
      </c>
      <c r="C323" s="285" t="s">
        <v>307</v>
      </c>
      <c r="D323" s="293">
        <v>0.66204894143478799</v>
      </c>
      <c r="E323" s="285" t="s">
        <v>256</v>
      </c>
      <c r="F323" s="285" t="s">
        <v>426</v>
      </c>
    </row>
    <row r="324" spans="2:6" ht="15" customHeight="1" x14ac:dyDescent="0.25">
      <c r="B324" s="284">
        <v>2024</v>
      </c>
      <c r="C324" s="285" t="s">
        <v>307</v>
      </c>
      <c r="D324" s="293">
        <v>0.66221142936953203</v>
      </c>
      <c r="E324" s="285" t="s">
        <v>256</v>
      </c>
      <c r="F324" s="285" t="s">
        <v>427</v>
      </c>
    </row>
    <row r="325" spans="2:6" ht="15" customHeight="1" x14ac:dyDescent="0.25">
      <c r="B325" s="284">
        <v>2025</v>
      </c>
      <c r="C325" s="285" t="s">
        <v>307</v>
      </c>
      <c r="D325" s="292">
        <v>0.66327827387478799</v>
      </c>
      <c r="E325" s="285" t="s">
        <v>256</v>
      </c>
      <c r="F325" s="285" t="s">
        <v>428</v>
      </c>
    </row>
    <row r="326" spans="2:6" ht="15" customHeight="1" x14ac:dyDescent="0.25">
      <c r="B326" s="284">
        <v>2026</v>
      </c>
      <c r="C326" s="285" t="s">
        <v>307</v>
      </c>
      <c r="D326" s="266"/>
      <c r="E326" s="285" t="s">
        <v>256</v>
      </c>
      <c r="F326" s="285" t="s">
        <v>429</v>
      </c>
    </row>
    <row r="327" spans="2:6" ht="15" customHeight="1" x14ac:dyDescent="0.25">
      <c r="B327" s="284">
        <v>2027</v>
      </c>
      <c r="C327" s="285" t="s">
        <v>307</v>
      </c>
      <c r="D327" s="266"/>
      <c r="E327" s="285" t="s">
        <v>256</v>
      </c>
      <c r="F327" s="285" t="s">
        <v>430</v>
      </c>
    </row>
    <row r="328" spans="2:6" ht="15" customHeight="1" x14ac:dyDescent="0.25">
      <c r="B328" s="284">
        <v>2028</v>
      </c>
      <c r="C328" s="285" t="s">
        <v>307</v>
      </c>
      <c r="D328" s="266"/>
      <c r="E328" s="285" t="s">
        <v>256</v>
      </c>
      <c r="F328" s="285" t="s">
        <v>431</v>
      </c>
    </row>
    <row r="329" spans="2:6" ht="15" customHeight="1" x14ac:dyDescent="0.25">
      <c r="B329" s="284">
        <v>2022</v>
      </c>
      <c r="C329" s="285" t="s">
        <v>308</v>
      </c>
      <c r="D329" s="306">
        <v>0.22355237510272502</v>
      </c>
      <c r="E329" s="285" t="s">
        <v>256</v>
      </c>
      <c r="F329" s="285" t="s">
        <v>469</v>
      </c>
    </row>
    <row r="330" spans="2:6" ht="15" customHeight="1" x14ac:dyDescent="0.25">
      <c r="B330" s="284">
        <v>2023</v>
      </c>
      <c r="C330" s="285" t="s">
        <v>308</v>
      </c>
      <c r="D330" s="292">
        <v>0.23144069513543036</v>
      </c>
      <c r="E330" s="285" t="s">
        <v>256</v>
      </c>
      <c r="F330" s="285" t="s">
        <v>432</v>
      </c>
    </row>
    <row r="331" spans="2:6" ht="15" customHeight="1" x14ac:dyDescent="0.25">
      <c r="B331" s="284">
        <v>2024</v>
      </c>
      <c r="C331" s="285" t="s">
        <v>308</v>
      </c>
      <c r="D331" s="292">
        <v>0.21912226020229811</v>
      </c>
      <c r="E331" s="285" t="s">
        <v>256</v>
      </c>
      <c r="F331" s="285" t="s">
        <v>433</v>
      </c>
    </row>
    <row r="332" spans="2:6" ht="15" customHeight="1" x14ac:dyDescent="0.25">
      <c r="B332" s="284">
        <v>2025</v>
      </c>
      <c r="C332" s="285" t="s">
        <v>308</v>
      </c>
      <c r="D332" s="292">
        <v>0.22415229101819734</v>
      </c>
      <c r="E332" s="285" t="s">
        <v>256</v>
      </c>
      <c r="F332" s="285" t="s">
        <v>434</v>
      </c>
    </row>
    <row r="333" spans="2:6" ht="15" customHeight="1" x14ac:dyDescent="0.25">
      <c r="B333" s="284">
        <v>2026</v>
      </c>
      <c r="C333" s="285" t="s">
        <v>308</v>
      </c>
      <c r="D333" s="292"/>
      <c r="E333" s="285" t="s">
        <v>256</v>
      </c>
      <c r="F333" s="285" t="s">
        <v>435</v>
      </c>
    </row>
    <row r="334" spans="2:6" ht="15" customHeight="1" x14ac:dyDescent="0.25">
      <c r="B334" s="284">
        <v>2027</v>
      </c>
      <c r="C334" s="285" t="s">
        <v>308</v>
      </c>
      <c r="D334" s="292"/>
      <c r="E334" s="285" t="s">
        <v>256</v>
      </c>
      <c r="F334" s="285" t="s">
        <v>436</v>
      </c>
    </row>
    <row r="335" spans="2:6" ht="15" customHeight="1" x14ac:dyDescent="0.25">
      <c r="B335" s="284">
        <v>2028</v>
      </c>
      <c r="C335" s="285" t="s">
        <v>308</v>
      </c>
      <c r="D335" s="292"/>
      <c r="E335" s="285" t="s">
        <v>256</v>
      </c>
      <c r="F335" s="285" t="s">
        <v>437</v>
      </c>
    </row>
    <row r="338" spans="2:6" ht="15" customHeight="1" x14ac:dyDescent="0.25">
      <c r="B338" s="475" t="s">
        <v>309</v>
      </c>
      <c r="C338" s="476"/>
      <c r="E338" s="2"/>
      <c r="F338" s="2"/>
    </row>
    <row r="339" spans="2:6" ht="15" customHeight="1" x14ac:dyDescent="0.25">
      <c r="B339" s="478" t="s">
        <v>310</v>
      </c>
      <c r="C339" s="496"/>
      <c r="D339" s="479" t="s">
        <v>194</v>
      </c>
      <c r="E339" s="479" t="s">
        <v>195</v>
      </c>
      <c r="F339" s="482" t="s">
        <v>196</v>
      </c>
    </row>
    <row r="340" spans="2:6" ht="15" customHeight="1" x14ac:dyDescent="0.25">
      <c r="B340" s="284">
        <v>2022</v>
      </c>
      <c r="C340" s="297" t="s">
        <v>338</v>
      </c>
      <c r="D340" s="293">
        <v>1.45</v>
      </c>
      <c r="E340" s="285" t="s">
        <v>311</v>
      </c>
      <c r="F340" s="285" t="s">
        <v>516</v>
      </c>
    </row>
    <row r="341" spans="2:6" ht="15" customHeight="1" x14ac:dyDescent="0.25">
      <c r="B341" s="284">
        <v>2023</v>
      </c>
      <c r="C341" s="297" t="s">
        <v>338</v>
      </c>
      <c r="D341" s="293">
        <v>0.81</v>
      </c>
      <c r="E341" s="285" t="s">
        <v>311</v>
      </c>
      <c r="F341" s="285" t="s">
        <v>517</v>
      </c>
    </row>
    <row r="342" spans="2:6" ht="15" customHeight="1" x14ac:dyDescent="0.25">
      <c r="B342" s="284">
        <v>2024</v>
      </c>
      <c r="C342" s="297" t="s">
        <v>338</v>
      </c>
      <c r="D342" s="293">
        <v>0.74</v>
      </c>
      <c r="E342" s="285" t="s">
        <v>311</v>
      </c>
      <c r="F342" s="285" t="s">
        <v>518</v>
      </c>
    </row>
    <row r="343" spans="2:6" ht="15" customHeight="1" x14ac:dyDescent="0.25">
      <c r="B343" s="284">
        <v>2025</v>
      </c>
      <c r="C343" s="297" t="s">
        <v>338</v>
      </c>
      <c r="D343" s="293">
        <v>0.73</v>
      </c>
      <c r="E343" s="285" t="s">
        <v>311</v>
      </c>
      <c r="F343" s="285" t="s">
        <v>519</v>
      </c>
    </row>
    <row r="344" spans="2:6" ht="15" customHeight="1" x14ac:dyDescent="0.25">
      <c r="B344" s="284">
        <v>2026</v>
      </c>
      <c r="C344" s="297" t="s">
        <v>338</v>
      </c>
      <c r="D344" s="293"/>
      <c r="E344" s="285" t="s">
        <v>311</v>
      </c>
      <c r="F344" s="285" t="s">
        <v>520</v>
      </c>
    </row>
    <row r="345" spans="2:6" ht="15" customHeight="1" x14ac:dyDescent="0.25">
      <c r="B345" s="284">
        <v>2027</v>
      </c>
      <c r="C345" s="297" t="s">
        <v>338</v>
      </c>
      <c r="D345" s="293"/>
      <c r="E345" s="285" t="s">
        <v>311</v>
      </c>
      <c r="F345" s="285" t="s">
        <v>521</v>
      </c>
    </row>
    <row r="346" spans="2:6" ht="15" customHeight="1" x14ac:dyDescent="0.25">
      <c r="B346" s="284">
        <v>2028</v>
      </c>
      <c r="C346" s="297" t="s">
        <v>338</v>
      </c>
      <c r="D346" s="293"/>
      <c r="E346" s="285" t="s">
        <v>311</v>
      </c>
      <c r="F346" s="285" t="s">
        <v>522</v>
      </c>
    </row>
    <row r="347" spans="2:6" ht="15" customHeight="1" x14ac:dyDescent="0.25">
      <c r="B347" s="284">
        <v>2022</v>
      </c>
      <c r="C347" s="295" t="s">
        <v>384</v>
      </c>
      <c r="D347" s="516">
        <v>0.73939628000000002</v>
      </c>
      <c r="E347" s="284" t="s">
        <v>222</v>
      </c>
      <c r="F347" s="285" t="s">
        <v>470</v>
      </c>
    </row>
    <row r="348" spans="2:6" ht="15" customHeight="1" x14ac:dyDescent="0.25">
      <c r="B348" s="284">
        <v>2023</v>
      </c>
      <c r="C348" s="295" t="s">
        <v>384</v>
      </c>
      <c r="D348" s="516">
        <v>0.73047809780939599</v>
      </c>
      <c r="E348" s="284" t="s">
        <v>222</v>
      </c>
      <c r="F348" s="285" t="s">
        <v>313</v>
      </c>
    </row>
    <row r="349" spans="2:6" ht="15" customHeight="1" x14ac:dyDescent="0.25">
      <c r="B349" s="284">
        <v>2024</v>
      </c>
      <c r="C349" s="295" t="s">
        <v>384</v>
      </c>
      <c r="D349" s="516">
        <v>1.04431834</v>
      </c>
      <c r="E349" s="284" t="s">
        <v>222</v>
      </c>
      <c r="F349" s="285" t="s">
        <v>314</v>
      </c>
    </row>
    <row r="350" spans="2:6" ht="15" customHeight="1" x14ac:dyDescent="0.25">
      <c r="B350" s="284">
        <v>2025</v>
      </c>
      <c r="C350" s="295" t="s">
        <v>384</v>
      </c>
      <c r="D350" s="555">
        <v>1.0500779</v>
      </c>
      <c r="E350" s="284" t="s">
        <v>222</v>
      </c>
      <c r="F350" s="285" t="s">
        <v>474</v>
      </c>
    </row>
    <row r="351" spans="2:6" ht="15" customHeight="1" x14ac:dyDescent="0.25">
      <c r="B351" s="284">
        <v>2026</v>
      </c>
      <c r="C351" s="295" t="s">
        <v>384</v>
      </c>
      <c r="D351" s="326"/>
      <c r="E351" s="284" t="s">
        <v>222</v>
      </c>
      <c r="F351" s="285" t="s">
        <v>315</v>
      </c>
    </row>
    <row r="352" spans="2:6" ht="15" customHeight="1" x14ac:dyDescent="0.25">
      <c r="B352" s="284">
        <v>2027</v>
      </c>
      <c r="C352" s="295" t="s">
        <v>384</v>
      </c>
      <c r="D352" s="326"/>
      <c r="E352" s="284" t="s">
        <v>222</v>
      </c>
      <c r="F352" s="285" t="s">
        <v>316</v>
      </c>
    </row>
    <row r="353" spans="2:6" ht="15" customHeight="1" x14ac:dyDescent="0.25">
      <c r="B353" s="284">
        <v>2028</v>
      </c>
      <c r="C353" s="295" t="s">
        <v>384</v>
      </c>
      <c r="D353" s="266"/>
      <c r="E353" s="284" t="s">
        <v>222</v>
      </c>
      <c r="F353" s="285" t="s">
        <v>317</v>
      </c>
    </row>
    <row r="354" spans="2:6" ht="15" customHeight="1" x14ac:dyDescent="0.25">
      <c r="B354" s="531">
        <v>2024</v>
      </c>
      <c r="C354" s="285" t="s">
        <v>446</v>
      </c>
      <c r="D354" s="292">
        <v>3.0478425559947297E-3</v>
      </c>
      <c r="E354" s="284" t="s">
        <v>447</v>
      </c>
      <c r="F354" s="285" t="s">
        <v>448</v>
      </c>
    </row>
    <row r="355" spans="2:6" ht="15" customHeight="1" x14ac:dyDescent="0.25">
      <c r="B355" s="531">
        <v>2024</v>
      </c>
      <c r="C355" s="285" t="s">
        <v>449</v>
      </c>
      <c r="D355" s="292">
        <v>3.8580808080808078E-3</v>
      </c>
      <c r="E355" s="284" t="s">
        <v>450</v>
      </c>
      <c r="F355" s="285" t="s">
        <v>451</v>
      </c>
    </row>
    <row r="358" spans="2:6" ht="15" customHeight="1" x14ac:dyDescent="0.25">
      <c r="B358" s="475" t="s">
        <v>318</v>
      </c>
      <c r="C358" s="477"/>
      <c r="D358" s="308"/>
      <c r="E358" s="15"/>
      <c r="F358" s="2"/>
    </row>
    <row r="359" spans="2:6" ht="15" customHeight="1" x14ac:dyDescent="0.25">
      <c r="B359" s="478" t="s">
        <v>319</v>
      </c>
      <c r="C359" s="496"/>
      <c r="D359" s="495" t="s">
        <v>194</v>
      </c>
      <c r="E359" s="479" t="s">
        <v>195</v>
      </c>
      <c r="F359" s="482" t="s">
        <v>196</v>
      </c>
    </row>
    <row r="360" spans="2:6" ht="15" customHeight="1" x14ac:dyDescent="0.25">
      <c r="B360" s="295" t="s">
        <v>320</v>
      </c>
      <c r="C360" s="296"/>
      <c r="D360" s="309">
        <v>28.688787462174144</v>
      </c>
      <c r="E360" s="284" t="s">
        <v>312</v>
      </c>
      <c r="F360" s="285" t="s">
        <v>438</v>
      </c>
    </row>
    <row r="361" spans="2:6" ht="15" customHeight="1" x14ac:dyDescent="0.25">
      <c r="B361" s="178" t="s">
        <v>321</v>
      </c>
      <c r="C361" s="307"/>
      <c r="D361" s="309">
        <v>28.688787462174144</v>
      </c>
      <c r="E361" s="284" t="s">
        <v>312</v>
      </c>
      <c r="F361" s="285" t="s">
        <v>438</v>
      </c>
    </row>
    <row r="362" spans="2:6" ht="15" customHeight="1" x14ac:dyDescent="0.25">
      <c r="B362" s="295" t="s">
        <v>322</v>
      </c>
      <c r="C362" s="296"/>
      <c r="D362" s="309">
        <v>28.688787462174144</v>
      </c>
      <c r="E362" s="284" t="s">
        <v>312</v>
      </c>
      <c r="F362" s="285" t="s">
        <v>438</v>
      </c>
    </row>
    <row r="363" spans="2:6" ht="15" customHeight="1" x14ac:dyDescent="0.25">
      <c r="B363" s="295" t="s">
        <v>323</v>
      </c>
      <c r="C363" s="296"/>
      <c r="D363" s="309">
        <v>28.688787462174144</v>
      </c>
      <c r="E363" s="284" t="s">
        <v>312</v>
      </c>
      <c r="F363" s="285" t="s">
        <v>438</v>
      </c>
    </row>
    <row r="364" spans="2:6" ht="15" customHeight="1" x14ac:dyDescent="0.25">
      <c r="B364" s="295" t="s">
        <v>324</v>
      </c>
      <c r="C364" s="296"/>
      <c r="D364" s="309">
        <v>620</v>
      </c>
      <c r="E364" s="284" t="s">
        <v>312</v>
      </c>
      <c r="F364" s="285" t="s">
        <v>325</v>
      </c>
    </row>
    <row r="365" spans="2:6" ht="15" customHeight="1" x14ac:dyDescent="0.25">
      <c r="B365" s="295" t="s">
        <v>326</v>
      </c>
      <c r="C365" s="296"/>
      <c r="D365" s="309">
        <v>547.6887874621741</v>
      </c>
      <c r="E365" s="284" t="s">
        <v>312</v>
      </c>
      <c r="F365" s="285" t="s">
        <v>439</v>
      </c>
    </row>
    <row r="366" spans="2:6" ht="15" customHeight="1" x14ac:dyDescent="0.25">
      <c r="B366" s="2"/>
      <c r="C366" s="2"/>
      <c r="E366" s="2"/>
      <c r="F366" s="2"/>
    </row>
    <row r="367" spans="2:6" ht="15" customHeight="1" x14ac:dyDescent="0.25">
      <c r="B367" s="2"/>
      <c r="C367" s="2"/>
      <c r="E367" s="2"/>
      <c r="F367" s="2"/>
    </row>
    <row r="368" spans="2:6" ht="15" customHeight="1" x14ac:dyDescent="0.25">
      <c r="B368" s="475" t="s">
        <v>327</v>
      </c>
      <c r="C368" s="477"/>
      <c r="E368" s="2"/>
      <c r="F368" s="2"/>
    </row>
    <row r="369" spans="2:6" ht="15" customHeight="1" x14ac:dyDescent="0.25">
      <c r="B369" s="478" t="s">
        <v>328</v>
      </c>
      <c r="C369" s="496"/>
      <c r="D369" s="495" t="s">
        <v>329</v>
      </c>
      <c r="E369" s="479" t="s">
        <v>195</v>
      </c>
      <c r="F369" s="482" t="s">
        <v>196</v>
      </c>
    </row>
    <row r="370" spans="2:6" ht="15" customHeight="1" x14ac:dyDescent="0.25">
      <c r="B370" s="310" t="s">
        <v>330</v>
      </c>
      <c r="C370" s="311"/>
      <c r="D370" s="312">
        <v>140</v>
      </c>
      <c r="E370" s="285" t="s">
        <v>331</v>
      </c>
      <c r="F370" s="285" t="s">
        <v>332</v>
      </c>
    </row>
    <row r="371" spans="2:6" ht="15" customHeight="1" x14ac:dyDescent="0.25">
      <c r="B371" s="295" t="s">
        <v>333</v>
      </c>
      <c r="C371" s="296"/>
      <c r="D371" s="312">
        <v>10</v>
      </c>
      <c r="E371" s="285" t="s">
        <v>331</v>
      </c>
      <c r="F371" s="285" t="s">
        <v>332</v>
      </c>
    </row>
    <row r="372" spans="2:6" ht="15" customHeight="1" x14ac:dyDescent="0.25">
      <c r="B372" s="2"/>
      <c r="C372" s="2"/>
      <c r="E372" s="2"/>
      <c r="F372" s="2"/>
    </row>
    <row r="373" spans="2:6" ht="15" customHeight="1" x14ac:dyDescent="0.25">
      <c r="B373" s="2"/>
      <c r="C373" s="2"/>
      <c r="E373" s="2"/>
      <c r="F373" s="2"/>
    </row>
    <row r="374" spans="2:6" ht="15" customHeight="1" x14ac:dyDescent="0.25">
      <c r="B374" s="475" t="s">
        <v>185</v>
      </c>
      <c r="C374" s="477"/>
      <c r="E374" s="2"/>
      <c r="F374" s="2"/>
    </row>
    <row r="375" spans="2:6" ht="15" customHeight="1" x14ac:dyDescent="0.25">
      <c r="B375" s="478" t="s">
        <v>334</v>
      </c>
      <c r="C375" s="496"/>
      <c r="D375" s="495" t="s">
        <v>329</v>
      </c>
      <c r="E375" s="479" t="s">
        <v>195</v>
      </c>
      <c r="F375" s="2"/>
    </row>
    <row r="376" spans="2:6" ht="15" customHeight="1" x14ac:dyDescent="0.25">
      <c r="B376" s="295" t="s">
        <v>335</v>
      </c>
      <c r="C376" s="296"/>
      <c r="D376" s="312">
        <v>80</v>
      </c>
      <c r="E376" s="285" t="s">
        <v>41</v>
      </c>
      <c r="F376" s="2"/>
    </row>
    <row r="377" spans="2:6" ht="15" customHeight="1" x14ac:dyDescent="0.25">
      <c r="B377" s="295" t="s">
        <v>453</v>
      </c>
      <c r="C377" s="296"/>
      <c r="D377" s="312">
        <f>D376/16</f>
        <v>5</v>
      </c>
      <c r="E377" s="285" t="s">
        <v>41</v>
      </c>
      <c r="F377" s="2"/>
    </row>
    <row r="378" spans="2:6" s="529" customFormat="1" ht="15" customHeight="1" x14ac:dyDescent="0.25">
      <c r="B378" s="295" t="s">
        <v>490</v>
      </c>
      <c r="C378" s="530"/>
      <c r="D378" s="309">
        <v>2.7315789473684209</v>
      </c>
      <c r="E378" s="525" t="s">
        <v>41</v>
      </c>
    </row>
    <row r="379" spans="2:6" s="529" customFormat="1" ht="15" customHeight="1" x14ac:dyDescent="0.25">
      <c r="B379" s="295" t="s">
        <v>491</v>
      </c>
      <c r="C379" s="530"/>
      <c r="D379" s="309">
        <v>3.8021979759645794</v>
      </c>
      <c r="E379" s="525" t="s">
        <v>41</v>
      </c>
    </row>
    <row r="380" spans="2:6" ht="15" customHeight="1" x14ac:dyDescent="0.25">
      <c r="B380" s="2"/>
      <c r="C380" s="2"/>
      <c r="E380" s="2"/>
      <c r="F380" s="2"/>
    </row>
    <row r="381" spans="2:6" ht="15" customHeight="1" x14ac:dyDescent="0.25">
      <c r="B381" s="2"/>
      <c r="C381" s="2"/>
      <c r="E381" s="2"/>
      <c r="F381" s="2"/>
    </row>
    <row r="382" spans="2:6" ht="15" customHeight="1" x14ac:dyDescent="0.25">
      <c r="B382" s="2" t="s">
        <v>336</v>
      </c>
      <c r="C382" s="2"/>
      <c r="E382" s="2"/>
      <c r="F382" s="2"/>
    </row>
    <row r="383" spans="2:6" ht="15" customHeight="1" x14ac:dyDescent="0.25">
      <c r="B383" s="2" t="s">
        <v>202</v>
      </c>
      <c r="C383" s="2"/>
      <c r="E383" s="2"/>
      <c r="F383" s="2"/>
    </row>
    <row r="384" spans="2:6" ht="15" customHeight="1" x14ac:dyDescent="0.25">
      <c r="B384" s="2" t="s">
        <v>206</v>
      </c>
      <c r="C384" s="2"/>
      <c r="E384" s="2"/>
      <c r="F384" s="2"/>
    </row>
    <row r="385" spans="2:6" ht="15" customHeight="1" x14ac:dyDescent="0.25">
      <c r="B385" s="2" t="s">
        <v>209</v>
      </c>
      <c r="C385" s="2"/>
      <c r="E385" s="2"/>
      <c r="F385" s="2"/>
    </row>
    <row r="386" spans="2:6" ht="15" customHeight="1" x14ac:dyDescent="0.25">
      <c r="B386" s="2" t="s">
        <v>337</v>
      </c>
      <c r="C386" s="2"/>
      <c r="E386" s="2"/>
      <c r="F386" s="2"/>
    </row>
    <row r="388" spans="2:6" ht="15" customHeight="1" x14ac:dyDescent="0.25">
      <c r="B388" s="2" t="s">
        <v>378</v>
      </c>
    </row>
    <row r="389" spans="2:6" ht="15" customHeight="1" x14ac:dyDescent="0.25">
      <c r="B389" s="2" t="s">
        <v>211</v>
      </c>
    </row>
    <row r="390" spans="2:6" ht="15" customHeight="1" x14ac:dyDescent="0.25">
      <c r="B390" s="2" t="s">
        <v>212</v>
      </c>
    </row>
    <row r="391" spans="2:6" ht="15" customHeight="1" x14ac:dyDescent="0.25">
      <c r="B391" s="2" t="s">
        <v>213</v>
      </c>
    </row>
    <row r="392" spans="2:6" ht="15" customHeight="1" x14ac:dyDescent="0.25">
      <c r="B392" s="2" t="s">
        <v>214</v>
      </c>
    </row>
    <row r="393" spans="2:6" ht="15" customHeight="1" x14ac:dyDescent="0.25">
      <c r="B393" s="2" t="s">
        <v>215</v>
      </c>
    </row>
    <row r="1048568" spans="5:5" ht="15" customHeight="1" x14ac:dyDescent="0.25">
      <c r="E1048568">
        <f>SUM(E1:E1048567)</f>
        <v>0</v>
      </c>
    </row>
  </sheetData>
  <sortState xmlns:xlrd2="http://schemas.microsoft.com/office/spreadsheetml/2017/richdata2" ref="B147:E157">
    <sortCondition ref="B147:B157"/>
  </sortState>
  <mergeCells count="1">
    <mergeCell ref="B3:F3"/>
  </mergeCells>
  <phoneticPr fontId="43" type="noConversion"/>
  <hyperlinks>
    <hyperlink ref="B3:F3" r:id="rId1" display="KHG jalajälje arvutamise aluseks olevad eriheitetegurid põhinevad Kliimaministeeriumi poolt kinnitatud vastaval andmebaasil (https://kliimaministeerium.ee/organisatsioonide-khg-jalajalg). Suurema varieeruvusega eriheitetegurid (elektrienergia, kaugküte) on alltoodud tabelites esitatud ainult 2022. aasta kohta. Kui kasutada käesolevat mudelit järgmiste aastate jalajälje arvutamiseks, tuleks vastavate aastate kohta sisestada tabelitesse asjakohased uued eriheitetegurid (vt juhised tabelites). Ülejäänud eriheitetegurite muudatustest anname eraldi teada." xr:uid="{3223F68D-AB1F-40FC-969E-4F840100490A}"/>
    <hyperlink ref="B158" r:id="rId2" xr:uid="{D490645F-FCC6-468B-9C51-8F205233C416}"/>
  </hyperlinks>
  <pageMargins left="0.7" right="0.7" top="0.75" bottom="0.75" header="0.3" footer="0.3"/>
  <pageSetup orientation="portrait" horizontalDpi="4294967295" verticalDpi="4294967295"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E7D4"/>
    <pageSetUpPr fitToPage="1"/>
  </sheetPr>
  <dimension ref="A1:J15"/>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RowHeight="15" x14ac:dyDescent="0.25"/>
  <cols>
    <col min="1" max="1" width="2.5703125" customWidth="1"/>
    <col min="2" max="2" width="58.7109375" customWidth="1"/>
    <col min="3" max="3" width="9.42578125" style="3" bestFit="1" customWidth="1"/>
    <col min="4" max="9" width="9.28515625" style="3"/>
  </cols>
  <sheetData>
    <row r="1" spans="1:10" ht="18.75" x14ac:dyDescent="0.3">
      <c r="B1" s="32" t="s">
        <v>346</v>
      </c>
    </row>
    <row r="2" spans="1:10" ht="18.75" x14ac:dyDescent="0.3">
      <c r="B2" s="32"/>
    </row>
    <row r="3" spans="1:10" ht="127.5" customHeight="1" x14ac:dyDescent="0.25">
      <c r="B3" s="570" t="s">
        <v>489</v>
      </c>
      <c r="C3" s="571"/>
      <c r="D3" s="571"/>
      <c r="E3" s="571"/>
      <c r="F3" s="571"/>
      <c r="G3" s="571"/>
      <c r="H3" s="571"/>
      <c r="I3" s="572"/>
    </row>
    <row r="5" spans="1:10" x14ac:dyDescent="0.25">
      <c r="A5" s="13"/>
      <c r="B5" s="117" t="s">
        <v>2</v>
      </c>
      <c r="C5" s="41"/>
      <c r="D5" s="41"/>
      <c r="E5" s="41"/>
      <c r="F5" s="41"/>
      <c r="G5" s="41"/>
      <c r="H5" s="41"/>
    </row>
    <row r="6" spans="1:10" ht="14.65" customHeight="1" x14ac:dyDescent="0.25">
      <c r="A6" s="14"/>
      <c r="B6" s="354" t="s">
        <v>3</v>
      </c>
      <c r="C6" s="41"/>
      <c r="D6" s="41"/>
      <c r="E6" s="41"/>
      <c r="F6" s="41"/>
      <c r="G6" s="41"/>
      <c r="H6" s="41"/>
    </row>
    <row r="7" spans="1:10" ht="14.65" customHeight="1" x14ac:dyDescent="0.25">
      <c r="A7" s="14"/>
      <c r="B7" s="355" t="s">
        <v>4</v>
      </c>
      <c r="C7" s="41"/>
      <c r="D7" s="41"/>
      <c r="E7" s="41"/>
      <c r="F7" s="41"/>
      <c r="G7" s="41"/>
      <c r="H7" s="41"/>
    </row>
    <row r="8" spans="1:10" x14ac:dyDescent="0.25">
      <c r="A8" s="5"/>
    </row>
    <row r="9" spans="1:10" x14ac:dyDescent="0.25">
      <c r="A9" s="5"/>
    </row>
    <row r="10" spans="1:10" x14ac:dyDescent="0.25">
      <c r="A10" s="5"/>
      <c r="B10" s="573" t="s">
        <v>5</v>
      </c>
      <c r="C10" s="575">
        <v>2022</v>
      </c>
      <c r="D10" s="575">
        <v>2023</v>
      </c>
      <c r="E10" s="575">
        <v>2024</v>
      </c>
      <c r="F10" s="575">
        <v>2025</v>
      </c>
      <c r="G10" s="575">
        <v>2026</v>
      </c>
      <c r="H10" s="575">
        <v>2027</v>
      </c>
      <c r="I10" s="575">
        <v>2028</v>
      </c>
    </row>
    <row r="11" spans="1:10" x14ac:dyDescent="0.25">
      <c r="A11" s="9"/>
      <c r="B11" s="574"/>
      <c r="C11" s="576"/>
      <c r="D11" s="576"/>
      <c r="E11" s="576"/>
      <c r="F11" s="576"/>
      <c r="G11" s="576"/>
      <c r="H11" s="576"/>
      <c r="I11" s="576"/>
    </row>
    <row r="12" spans="1:10" ht="27" customHeight="1" x14ac:dyDescent="0.25">
      <c r="A12" s="9"/>
      <c r="B12" s="278" t="s">
        <v>364</v>
      </c>
      <c r="C12" s="352"/>
      <c r="D12" s="352"/>
      <c r="E12" s="352"/>
      <c r="F12" s="352"/>
      <c r="G12" s="352"/>
      <c r="H12" s="352"/>
      <c r="I12" s="352"/>
    </row>
    <row r="13" spans="1:10" x14ac:dyDescent="0.25">
      <c r="A13" s="9"/>
      <c r="B13" s="497" t="s">
        <v>349</v>
      </c>
      <c r="C13" s="353"/>
      <c r="D13" s="353"/>
      <c r="E13" s="353"/>
      <c r="F13" s="353"/>
      <c r="G13" s="353"/>
      <c r="H13" s="353"/>
      <c r="I13" s="353"/>
      <c r="J13" s="49"/>
    </row>
    <row r="14" spans="1:10" ht="15.75" x14ac:dyDescent="0.25">
      <c r="A14" s="10"/>
      <c r="B14" s="102" t="s">
        <v>347</v>
      </c>
      <c r="C14" s="353"/>
      <c r="D14" s="353"/>
      <c r="E14" s="353"/>
      <c r="F14" s="353"/>
      <c r="G14" s="353"/>
      <c r="H14" s="353"/>
      <c r="I14" s="353"/>
    </row>
    <row r="15" spans="1:10" x14ac:dyDescent="0.25">
      <c r="B15" s="329"/>
      <c r="C15" s="116"/>
    </row>
  </sheetData>
  <mergeCells count="9">
    <mergeCell ref="B3:I3"/>
    <mergeCell ref="B10:B11"/>
    <mergeCell ref="C10:C11"/>
    <mergeCell ref="I10:I11"/>
    <mergeCell ref="D10:D11"/>
    <mergeCell ref="E10:E11"/>
    <mergeCell ref="F10:F11"/>
    <mergeCell ref="G10:G11"/>
    <mergeCell ref="H10:H11"/>
  </mergeCells>
  <pageMargins left="0.70866141732283472" right="0.70866141732283472" top="0.74803149606299213" bottom="0.74803149606299213" header="0.31496062992125984" footer="0.31496062992125984"/>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CBA12"/>
    <pageSetUpPr fitToPage="1"/>
  </sheetPr>
  <dimension ref="B1:T46"/>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ColWidth="9.28515625" defaultRowHeight="15" x14ac:dyDescent="0.25"/>
  <cols>
    <col min="1" max="1" width="2.5703125" style="19" customWidth="1"/>
    <col min="2" max="2" width="7.5703125" style="19" customWidth="1"/>
    <col min="3" max="3" width="41.7109375" style="20" bestFit="1" customWidth="1"/>
    <col min="4" max="15" width="10.7109375" style="20" customWidth="1"/>
    <col min="16" max="16" width="15.7109375" style="56" customWidth="1"/>
    <col min="17" max="18" width="15.7109375" customWidth="1"/>
    <col min="19" max="19" width="9.28515625" style="19"/>
    <col min="20" max="20" width="10.28515625" style="19" bestFit="1" customWidth="1"/>
    <col min="21" max="16384" width="9.28515625" style="19"/>
  </cols>
  <sheetData>
    <row r="1" spans="2:20" ht="18.75" x14ac:dyDescent="0.3">
      <c r="B1" s="28" t="s">
        <v>6</v>
      </c>
      <c r="D1" s="19"/>
      <c r="E1" s="19"/>
    </row>
    <row r="2" spans="2:20" x14ac:dyDescent="0.25">
      <c r="D2" s="19"/>
      <c r="E2" s="19"/>
    </row>
    <row r="3" spans="2:20" ht="138" customHeight="1" x14ac:dyDescent="0.25">
      <c r="B3" s="570" t="s">
        <v>352</v>
      </c>
      <c r="C3" s="579"/>
      <c r="D3" s="579"/>
      <c r="E3" s="579"/>
      <c r="F3" s="579"/>
      <c r="G3" s="579"/>
      <c r="H3" s="579"/>
      <c r="I3" s="579"/>
      <c r="J3" s="579"/>
      <c r="K3" s="579"/>
      <c r="L3" s="579"/>
      <c r="M3" s="579"/>
      <c r="N3" s="579"/>
      <c r="O3" s="579"/>
      <c r="P3" s="579"/>
      <c r="Q3" s="579"/>
      <c r="R3" s="580"/>
    </row>
    <row r="4" spans="2:20" ht="15.75" x14ac:dyDescent="0.25">
      <c r="B4" s="34"/>
      <c r="C4" s="45"/>
      <c r="D4" s="34"/>
      <c r="E4" s="34"/>
      <c r="F4" s="34"/>
      <c r="G4" s="34"/>
      <c r="H4" s="34"/>
    </row>
    <row r="5" spans="2:20" x14ac:dyDescent="0.25">
      <c r="B5" s="589" t="s">
        <v>2</v>
      </c>
      <c r="C5" s="589"/>
      <c r="D5" s="19"/>
      <c r="E5" s="19"/>
      <c r="O5" s="51"/>
      <c r="P5" s="20"/>
    </row>
    <row r="6" spans="2:20" ht="14.65" customHeight="1" x14ac:dyDescent="0.25">
      <c r="C6" s="330" t="s">
        <v>3</v>
      </c>
      <c r="D6" s="19"/>
      <c r="E6" s="19"/>
      <c r="O6" s="51"/>
      <c r="P6" s="52"/>
    </row>
    <row r="7" spans="2:20" ht="14.65" customHeight="1" x14ac:dyDescent="0.25">
      <c r="C7" s="339" t="s">
        <v>4</v>
      </c>
      <c r="D7" s="19"/>
      <c r="E7" s="19"/>
      <c r="O7" s="51"/>
      <c r="P7" s="52"/>
    </row>
    <row r="8" spans="2:20" ht="14.65" customHeight="1" thickBot="1" x14ac:dyDescent="0.3">
      <c r="C8" s="150" t="s">
        <v>7</v>
      </c>
      <c r="D8" s="19"/>
      <c r="E8" s="19"/>
      <c r="O8" s="51"/>
      <c r="P8" s="52"/>
    </row>
    <row r="9" spans="2:20" ht="15.75" thickBot="1" x14ac:dyDescent="0.3">
      <c r="E9" s="21"/>
      <c r="Q9" s="587" t="s">
        <v>8</v>
      </c>
      <c r="R9" s="588"/>
    </row>
    <row r="10" spans="2:20" s="21" customFormat="1" ht="19.5" thickBot="1" x14ac:dyDescent="0.35">
      <c r="B10" s="592" t="s">
        <v>9</v>
      </c>
      <c r="C10" s="583" t="s">
        <v>10</v>
      </c>
      <c r="D10" s="581" t="s">
        <v>11</v>
      </c>
      <c r="E10" s="577" t="s">
        <v>12</v>
      </c>
      <c r="F10" s="577" t="s">
        <v>13</v>
      </c>
      <c r="G10" s="577" t="s">
        <v>14</v>
      </c>
      <c r="H10" s="577" t="s">
        <v>15</v>
      </c>
      <c r="I10" s="577" t="s">
        <v>16</v>
      </c>
      <c r="J10" s="577" t="s">
        <v>17</v>
      </c>
      <c r="K10" s="577" t="s">
        <v>18</v>
      </c>
      <c r="L10" s="577" t="s">
        <v>19</v>
      </c>
      <c r="M10" s="577" t="s">
        <v>20</v>
      </c>
      <c r="N10" s="577" t="s">
        <v>21</v>
      </c>
      <c r="O10" s="585" t="s">
        <v>22</v>
      </c>
      <c r="P10" s="592" t="s">
        <v>23</v>
      </c>
      <c r="Q10" s="590" t="s">
        <v>24</v>
      </c>
      <c r="R10" s="591"/>
      <c r="T10" s="28"/>
    </row>
    <row r="11" spans="2:20" ht="15.75" thickBot="1" x14ac:dyDescent="0.3">
      <c r="B11" s="593"/>
      <c r="C11" s="584"/>
      <c r="D11" s="582"/>
      <c r="E11" s="578"/>
      <c r="F11" s="578"/>
      <c r="G11" s="578"/>
      <c r="H11" s="578"/>
      <c r="I11" s="578"/>
      <c r="J11" s="578"/>
      <c r="K11" s="578"/>
      <c r="L11" s="578"/>
      <c r="M11" s="578"/>
      <c r="N11" s="578"/>
      <c r="O11" s="586"/>
      <c r="P11" s="594"/>
      <c r="Q11" s="136" t="s">
        <v>25</v>
      </c>
      <c r="R11" s="137" t="s">
        <v>26</v>
      </c>
    </row>
    <row r="12" spans="2:20" x14ac:dyDescent="0.25">
      <c r="B12" s="50">
        <f>ÜLDANDMED!C10</f>
        <v>2022</v>
      </c>
      <c r="C12" s="262" t="s">
        <v>355</v>
      </c>
      <c r="D12" s="331"/>
      <c r="E12" s="331"/>
      <c r="F12" s="331"/>
      <c r="G12" s="331"/>
      <c r="H12" s="331"/>
      <c r="I12" s="331"/>
      <c r="J12" s="331"/>
      <c r="K12" s="331"/>
      <c r="L12" s="331"/>
      <c r="M12" s="331"/>
      <c r="N12" s="331"/>
      <c r="O12" s="331"/>
      <c r="P12" s="348">
        <f t="shared" ref="P12:P40" si="0">SUM(D12:O12)</f>
        <v>0</v>
      </c>
      <c r="Q12" s="336"/>
      <c r="R12" s="138"/>
    </row>
    <row r="13" spans="2:20" x14ac:dyDescent="0.25">
      <c r="B13" s="263"/>
      <c r="C13" s="47" t="s">
        <v>27</v>
      </c>
      <c r="D13" s="332"/>
      <c r="E13" s="333"/>
      <c r="F13" s="333"/>
      <c r="G13" s="333"/>
      <c r="H13" s="334"/>
      <c r="I13" s="334"/>
      <c r="J13" s="333"/>
      <c r="K13" s="333"/>
      <c r="L13" s="333"/>
      <c r="M13" s="333"/>
      <c r="N13" s="333"/>
      <c r="O13" s="335"/>
      <c r="P13" s="349" t="e">
        <f>AVERAGE(D13:O13)</f>
        <v>#DIV/0!</v>
      </c>
      <c r="Q13" s="139"/>
      <c r="R13" s="140"/>
    </row>
    <row r="14" spans="2:20" x14ac:dyDescent="0.25">
      <c r="B14" s="263"/>
      <c r="C14" s="46" t="s">
        <v>28</v>
      </c>
      <c r="D14" s="343">
        <f>(kodukontor_elekter+kodukontor_valgustus)*160*ELEKTER!D13/1000</f>
        <v>0</v>
      </c>
      <c r="E14" s="340">
        <f>(kodukontor_elekter+kodukontor_valgustus)*160*ELEKTER!E13/1000</f>
        <v>0</v>
      </c>
      <c r="F14" s="340">
        <f>(kodukontor_elekter+kodukontor_valgustus)*160*ELEKTER!F13/1000</f>
        <v>0</v>
      </c>
      <c r="G14" s="340">
        <f>(kodukontor_elekter+kodukontor_valgustus)*160*ELEKTER!G13/1000</f>
        <v>0</v>
      </c>
      <c r="H14" s="340">
        <f>(kodukontor_elekter+kodukontor_valgustus)*160*ELEKTER!H13/1000</f>
        <v>0</v>
      </c>
      <c r="I14" s="340">
        <f>(kodukontor_elekter+kodukontor_valgustus)*160*ELEKTER!I13/1000</f>
        <v>0</v>
      </c>
      <c r="J14" s="340">
        <f>(kodukontor_elekter+kodukontor_valgustus)*160*ELEKTER!J13/1000</f>
        <v>0</v>
      </c>
      <c r="K14" s="340">
        <f>(kodukontor_elekter+kodukontor_valgustus)*160*ELEKTER!K13/1000</f>
        <v>0</v>
      </c>
      <c r="L14" s="340">
        <f>(kodukontor_elekter+kodukontor_valgustus)*160*ELEKTER!L13/1000</f>
        <v>0</v>
      </c>
      <c r="M14" s="340">
        <f>(kodukontor_elekter+kodukontor_valgustus)*160*ELEKTER!M13/1000</f>
        <v>0</v>
      </c>
      <c r="N14" s="340">
        <f>(kodukontor_elekter+kodukontor_valgustus)*160*ELEKTER!N13/1000</f>
        <v>0</v>
      </c>
      <c r="O14" s="341">
        <f>(kodukontor_elekter+kodukontor_valgustus)*160*ELEKTER!O13/1000</f>
        <v>0</v>
      </c>
      <c r="P14" s="349">
        <f>SUM(D14:O14)</f>
        <v>0</v>
      </c>
      <c r="Q14" s="139"/>
      <c r="R14" s="337"/>
    </row>
    <row r="15" spans="2:20" x14ac:dyDescent="0.25">
      <c r="B15" s="263"/>
      <c r="C15" s="46" t="s">
        <v>29</v>
      </c>
      <c r="D15" s="342">
        <f>SUM(D12,D14)</f>
        <v>0</v>
      </c>
      <c r="E15" s="342">
        <f t="shared" ref="E15:O15" si="1">SUM(E12,E14)</f>
        <v>0</v>
      </c>
      <c r="F15" s="342">
        <f t="shared" si="1"/>
        <v>0</v>
      </c>
      <c r="G15" s="342">
        <f t="shared" si="1"/>
        <v>0</v>
      </c>
      <c r="H15" s="342">
        <f t="shared" si="1"/>
        <v>0</v>
      </c>
      <c r="I15" s="342">
        <f t="shared" si="1"/>
        <v>0</v>
      </c>
      <c r="J15" s="342">
        <f t="shared" si="1"/>
        <v>0</v>
      </c>
      <c r="K15" s="342">
        <f t="shared" si="1"/>
        <v>0</v>
      </c>
      <c r="L15" s="342">
        <f t="shared" si="1"/>
        <v>0</v>
      </c>
      <c r="M15" s="342">
        <f t="shared" si="1"/>
        <v>0</v>
      </c>
      <c r="N15" s="342">
        <f t="shared" si="1"/>
        <v>0</v>
      </c>
      <c r="O15" s="342">
        <f t="shared" si="1"/>
        <v>0</v>
      </c>
      <c r="P15" s="350">
        <f>SUM(D15:O15)</f>
        <v>0</v>
      </c>
      <c r="Q15" s="139"/>
      <c r="R15" s="140"/>
    </row>
    <row r="16" spans="2:20" ht="15.75" thickBot="1" x14ac:dyDescent="0.3">
      <c r="B16" s="264"/>
      <c r="C16" s="47" t="s">
        <v>348</v>
      </c>
      <c r="D16" s="498"/>
      <c r="E16" s="499"/>
      <c r="F16" s="499"/>
      <c r="G16" s="499"/>
      <c r="H16" s="499"/>
      <c r="I16" s="499"/>
      <c r="J16" s="499"/>
      <c r="K16" s="499"/>
      <c r="L16" s="499"/>
      <c r="M16" s="499"/>
      <c r="N16" s="499"/>
      <c r="O16" s="499"/>
      <c r="P16" s="349" t="e">
        <f>P15/b_2022</f>
        <v>#DIV/0!</v>
      </c>
      <c r="Q16" s="141"/>
      <c r="R16" s="142"/>
    </row>
    <row r="17" spans="2:18" x14ac:dyDescent="0.25">
      <c r="B17" s="255">
        <f>ÜLDANDMED!D10</f>
        <v>2023</v>
      </c>
      <c r="C17" s="262" t="s">
        <v>355</v>
      </c>
      <c r="D17" s="331"/>
      <c r="E17" s="331"/>
      <c r="F17" s="331"/>
      <c r="G17" s="331"/>
      <c r="H17" s="331"/>
      <c r="I17" s="331"/>
      <c r="J17" s="331"/>
      <c r="K17" s="331"/>
      <c r="L17" s="331"/>
      <c r="M17" s="331"/>
      <c r="N17" s="331"/>
      <c r="O17" s="331"/>
      <c r="P17" s="351">
        <f t="shared" ref="P17" si="2">SUM(D17:O17)</f>
        <v>0</v>
      </c>
      <c r="Q17" s="336"/>
      <c r="R17" s="138"/>
    </row>
    <row r="18" spans="2:18" x14ac:dyDescent="0.25">
      <c r="B18" s="263"/>
      <c r="C18" s="47" t="s">
        <v>27</v>
      </c>
      <c r="D18" s="332"/>
      <c r="E18" s="333"/>
      <c r="F18" s="333"/>
      <c r="G18" s="333"/>
      <c r="H18" s="334"/>
      <c r="I18" s="334"/>
      <c r="J18" s="333"/>
      <c r="K18" s="333"/>
      <c r="L18" s="333"/>
      <c r="M18" s="333"/>
      <c r="N18" s="333"/>
      <c r="O18" s="335"/>
      <c r="P18" s="349" t="e">
        <f>AVERAGE(D18:O18)</f>
        <v>#DIV/0!</v>
      </c>
      <c r="Q18" s="139"/>
      <c r="R18" s="140"/>
    </row>
    <row r="19" spans="2:18" x14ac:dyDescent="0.25">
      <c r="B19" s="263"/>
      <c r="C19" s="46" t="s">
        <v>28</v>
      </c>
      <c r="D19" s="343">
        <f>(kodukontor_elekter+kodukontor_valgustus)*160*ELEKTER!D18/1000</f>
        <v>0</v>
      </c>
      <c r="E19" s="340">
        <f>(kodukontor_elekter+kodukontor_valgustus)*160*ELEKTER!E18/1000</f>
        <v>0</v>
      </c>
      <c r="F19" s="340">
        <f>(kodukontor_elekter+kodukontor_valgustus)*160*ELEKTER!F18/1000</f>
        <v>0</v>
      </c>
      <c r="G19" s="340">
        <f>(kodukontor_elekter+kodukontor_valgustus)*160*ELEKTER!G18/1000</f>
        <v>0</v>
      </c>
      <c r="H19" s="340">
        <f>(kodukontor_elekter+kodukontor_valgustus)*160*ELEKTER!H18/1000</f>
        <v>0</v>
      </c>
      <c r="I19" s="340">
        <f>(kodukontor_elekter+kodukontor_valgustus)*160*ELEKTER!I18/1000</f>
        <v>0</v>
      </c>
      <c r="J19" s="340">
        <f>(kodukontor_elekter+kodukontor_valgustus)*160*ELEKTER!J18/1000</f>
        <v>0</v>
      </c>
      <c r="K19" s="340">
        <f>(kodukontor_elekter+kodukontor_valgustus)*160*ELEKTER!K18/1000</f>
        <v>0</v>
      </c>
      <c r="L19" s="340">
        <f>(kodukontor_elekter+kodukontor_valgustus)*160*ELEKTER!L18/1000</f>
        <v>0</v>
      </c>
      <c r="M19" s="340">
        <f>(kodukontor_elekter+kodukontor_valgustus)*160*ELEKTER!M18/1000</f>
        <v>0</v>
      </c>
      <c r="N19" s="340">
        <f>(kodukontor_elekter+kodukontor_valgustus)*160*ELEKTER!N18/1000</f>
        <v>0</v>
      </c>
      <c r="O19" s="341">
        <f>(kodukontor_elekter+kodukontor_valgustus)*160*ELEKTER!O18/1000</f>
        <v>0</v>
      </c>
      <c r="P19" s="349">
        <f>SUM(D19:O19)</f>
        <v>0</v>
      </c>
      <c r="Q19" s="139"/>
      <c r="R19" s="337"/>
    </row>
    <row r="20" spans="2:18" x14ac:dyDescent="0.25">
      <c r="B20" s="256"/>
      <c r="C20" s="46" t="s">
        <v>29</v>
      </c>
      <c r="D20" s="344">
        <f>SUM(D17,D19)</f>
        <v>0</v>
      </c>
      <c r="E20" s="345">
        <f t="shared" ref="E20:O20" si="3">SUM(E17,E19)</f>
        <v>0</v>
      </c>
      <c r="F20" s="345">
        <f t="shared" si="3"/>
        <v>0</v>
      </c>
      <c r="G20" s="345">
        <f t="shared" si="3"/>
        <v>0</v>
      </c>
      <c r="H20" s="345">
        <f t="shared" si="3"/>
        <v>0</v>
      </c>
      <c r="I20" s="345">
        <f t="shared" si="3"/>
        <v>0</v>
      </c>
      <c r="J20" s="345">
        <f t="shared" si="3"/>
        <v>0</v>
      </c>
      <c r="K20" s="345">
        <f t="shared" si="3"/>
        <v>0</v>
      </c>
      <c r="L20" s="345">
        <f t="shared" si="3"/>
        <v>0</v>
      </c>
      <c r="M20" s="345">
        <f t="shared" si="3"/>
        <v>0</v>
      </c>
      <c r="N20" s="345">
        <f t="shared" si="3"/>
        <v>0</v>
      </c>
      <c r="O20" s="346">
        <f t="shared" si="3"/>
        <v>0</v>
      </c>
      <c r="P20" s="349">
        <f>SUM(D20:O20)</f>
        <v>0</v>
      </c>
      <c r="Q20" s="139"/>
      <c r="R20" s="140"/>
    </row>
    <row r="21" spans="2:18" ht="15.75" thickBot="1" x14ac:dyDescent="0.3">
      <c r="B21" s="256"/>
      <c r="C21" s="47" t="s">
        <v>348</v>
      </c>
      <c r="D21" s="500"/>
      <c r="E21" s="501"/>
      <c r="F21" s="501"/>
      <c r="G21" s="501"/>
      <c r="H21" s="501"/>
      <c r="I21" s="501"/>
      <c r="J21" s="501"/>
      <c r="K21" s="501"/>
      <c r="L21" s="501"/>
      <c r="M21" s="501"/>
      <c r="N21" s="501"/>
      <c r="O21" s="501"/>
      <c r="P21" s="349" t="e">
        <f>P20/b_2023</f>
        <v>#DIV/0!</v>
      </c>
      <c r="Q21" s="143"/>
      <c r="R21" s="144"/>
    </row>
    <row r="22" spans="2:18" x14ac:dyDescent="0.25">
      <c r="B22" s="255">
        <f>ÜLDANDMED!E10</f>
        <v>2024</v>
      </c>
      <c r="C22" s="262" t="s">
        <v>355</v>
      </c>
      <c r="D22" s="331"/>
      <c r="E22" s="331"/>
      <c r="F22" s="331"/>
      <c r="G22" s="331"/>
      <c r="H22" s="331"/>
      <c r="I22" s="331"/>
      <c r="J22" s="331"/>
      <c r="K22" s="331"/>
      <c r="L22" s="331"/>
      <c r="M22" s="331"/>
      <c r="N22" s="331"/>
      <c r="O22" s="331"/>
      <c r="P22" s="350">
        <f t="shared" si="0"/>
        <v>0</v>
      </c>
      <c r="Q22" s="338"/>
      <c r="R22" s="145"/>
    </row>
    <row r="23" spans="2:18" x14ac:dyDescent="0.25">
      <c r="B23" s="263"/>
      <c r="C23" s="47" t="s">
        <v>27</v>
      </c>
      <c r="D23" s="332"/>
      <c r="E23" s="333"/>
      <c r="F23" s="333"/>
      <c r="G23" s="333"/>
      <c r="H23" s="334"/>
      <c r="I23" s="334"/>
      <c r="J23" s="333"/>
      <c r="K23" s="333"/>
      <c r="L23" s="333"/>
      <c r="M23" s="333"/>
      <c r="N23" s="333"/>
      <c r="O23" s="335"/>
      <c r="P23" s="349" t="e">
        <f>AVERAGE(D23:O23)</f>
        <v>#DIV/0!</v>
      </c>
      <c r="Q23" s="139"/>
      <c r="R23" s="140"/>
    </row>
    <row r="24" spans="2:18" x14ac:dyDescent="0.25">
      <c r="B24" s="263"/>
      <c r="C24" s="46" t="s">
        <v>28</v>
      </c>
      <c r="D24" s="343">
        <f>(kodukontor_elekter+kodukontor_valgustus)*160*ELEKTER!D23/1000</f>
        <v>0</v>
      </c>
      <c r="E24" s="340">
        <f>(kodukontor_elekter+kodukontor_valgustus)*160*ELEKTER!E23/1000</f>
        <v>0</v>
      </c>
      <c r="F24" s="340">
        <f>(kodukontor_elekter+kodukontor_valgustus)*160*ELEKTER!F23/1000</f>
        <v>0</v>
      </c>
      <c r="G24" s="340">
        <f>(kodukontor_elekter+kodukontor_valgustus)*160*ELEKTER!G23/1000</f>
        <v>0</v>
      </c>
      <c r="H24" s="340">
        <f>(kodukontor_elekter+kodukontor_valgustus)*160*ELEKTER!H23/1000</f>
        <v>0</v>
      </c>
      <c r="I24" s="340">
        <f>(kodukontor_elekter+kodukontor_valgustus)*160*ELEKTER!I23/1000</f>
        <v>0</v>
      </c>
      <c r="J24" s="340">
        <f>(kodukontor_elekter+kodukontor_valgustus)*160*ELEKTER!J23/1000</f>
        <v>0</v>
      </c>
      <c r="K24" s="340">
        <f>(kodukontor_elekter+kodukontor_valgustus)*160*ELEKTER!K23/1000</f>
        <v>0</v>
      </c>
      <c r="L24" s="340">
        <f>(kodukontor_elekter+kodukontor_valgustus)*160*ELEKTER!L23/1000</f>
        <v>0</v>
      </c>
      <c r="M24" s="340">
        <f>(kodukontor_elekter+kodukontor_valgustus)*160*ELEKTER!M23/1000</f>
        <v>0</v>
      </c>
      <c r="N24" s="340">
        <f>(kodukontor_elekter+kodukontor_valgustus)*160*ELEKTER!N23/1000</f>
        <v>0</v>
      </c>
      <c r="O24" s="341">
        <f>(kodukontor_elekter+kodukontor_valgustus)*160*ELEKTER!O23/1000</f>
        <v>0</v>
      </c>
      <c r="P24" s="349">
        <f>SUM(D24:O24)</f>
        <v>0</v>
      </c>
      <c r="Q24" s="139"/>
      <c r="R24" s="337"/>
    </row>
    <row r="25" spans="2:18" x14ac:dyDescent="0.25">
      <c r="B25" s="256"/>
      <c r="C25" s="46" t="s">
        <v>29</v>
      </c>
      <c r="D25" s="347">
        <f>SUM(D22,D24)</f>
        <v>0</v>
      </c>
      <c r="E25" s="347">
        <f t="shared" ref="E25:O25" si="4">SUM(E22,E24)</f>
        <v>0</v>
      </c>
      <c r="F25" s="347">
        <f t="shared" si="4"/>
        <v>0</v>
      </c>
      <c r="G25" s="347">
        <f t="shared" si="4"/>
        <v>0</v>
      </c>
      <c r="H25" s="347">
        <f t="shared" si="4"/>
        <v>0</v>
      </c>
      <c r="I25" s="347">
        <f t="shared" si="4"/>
        <v>0</v>
      </c>
      <c r="J25" s="347">
        <f t="shared" si="4"/>
        <v>0</v>
      </c>
      <c r="K25" s="347">
        <f t="shared" si="4"/>
        <v>0</v>
      </c>
      <c r="L25" s="347">
        <f t="shared" si="4"/>
        <v>0</v>
      </c>
      <c r="M25" s="347">
        <f t="shared" si="4"/>
        <v>0</v>
      </c>
      <c r="N25" s="347">
        <f t="shared" si="4"/>
        <v>0</v>
      </c>
      <c r="O25" s="347">
        <f t="shared" si="4"/>
        <v>0</v>
      </c>
      <c r="P25" s="349">
        <f t="shared" si="0"/>
        <v>0</v>
      </c>
      <c r="Q25" s="139"/>
      <c r="R25" s="140"/>
    </row>
    <row r="26" spans="2:18" ht="15.75" thickBot="1" x14ac:dyDescent="0.3">
      <c r="B26" s="256"/>
      <c r="C26" s="47" t="s">
        <v>348</v>
      </c>
      <c r="D26" s="498"/>
      <c r="E26" s="499"/>
      <c r="F26" s="499"/>
      <c r="G26" s="499"/>
      <c r="H26" s="499"/>
      <c r="I26" s="499"/>
      <c r="J26" s="499"/>
      <c r="K26" s="499"/>
      <c r="L26" s="499"/>
      <c r="M26" s="499"/>
      <c r="N26" s="499"/>
      <c r="O26" s="502"/>
      <c r="P26" s="349" t="e">
        <f>P25/b_2024</f>
        <v>#DIV/0!</v>
      </c>
      <c r="Q26" s="141"/>
      <c r="R26" s="142"/>
    </row>
    <row r="27" spans="2:18" x14ac:dyDescent="0.25">
      <c r="B27" s="255">
        <f>ÜLDANDMED!F10</f>
        <v>2025</v>
      </c>
      <c r="C27" s="262" t="s">
        <v>355</v>
      </c>
      <c r="D27" s="331"/>
      <c r="E27" s="331"/>
      <c r="F27" s="331"/>
      <c r="G27" s="331"/>
      <c r="H27" s="331"/>
      <c r="I27" s="331"/>
      <c r="J27" s="331"/>
      <c r="K27" s="331"/>
      <c r="L27" s="331"/>
      <c r="M27" s="331"/>
      <c r="N27" s="331"/>
      <c r="O27" s="331"/>
      <c r="P27" s="351">
        <f t="shared" si="0"/>
        <v>0</v>
      </c>
      <c r="Q27" s="336"/>
      <c r="R27" s="138"/>
    </row>
    <row r="28" spans="2:18" x14ac:dyDescent="0.25">
      <c r="B28" s="263"/>
      <c r="C28" s="47" t="s">
        <v>27</v>
      </c>
      <c r="D28" s="332"/>
      <c r="E28" s="333"/>
      <c r="F28" s="333"/>
      <c r="G28" s="333"/>
      <c r="H28" s="334"/>
      <c r="I28" s="334"/>
      <c r="J28" s="333"/>
      <c r="K28" s="333"/>
      <c r="L28" s="333"/>
      <c r="M28" s="333"/>
      <c r="N28" s="333"/>
      <c r="O28" s="335"/>
      <c r="P28" s="349" t="e">
        <f>AVERAGE(D28:O28)</f>
        <v>#DIV/0!</v>
      </c>
      <c r="Q28" s="139"/>
      <c r="R28" s="140"/>
    </row>
    <row r="29" spans="2:18" x14ac:dyDescent="0.25">
      <c r="B29" s="263"/>
      <c r="C29" s="46" t="s">
        <v>28</v>
      </c>
      <c r="D29" s="343">
        <f>(kodukontor_elekter+kodukontor_valgustus)*160*ELEKTER!D28/1000</f>
        <v>0</v>
      </c>
      <c r="E29" s="340">
        <f>(kodukontor_elekter+kodukontor_valgustus)*160*ELEKTER!E28/1000</f>
        <v>0</v>
      </c>
      <c r="F29" s="340">
        <f>(kodukontor_elekter+kodukontor_valgustus)*160*ELEKTER!F28/1000</f>
        <v>0</v>
      </c>
      <c r="G29" s="340">
        <f>(kodukontor_elekter+kodukontor_valgustus)*160*ELEKTER!G28/1000</f>
        <v>0</v>
      </c>
      <c r="H29" s="340">
        <f>(kodukontor_elekter+kodukontor_valgustus)*160*ELEKTER!H28/1000</f>
        <v>0</v>
      </c>
      <c r="I29" s="340">
        <f>(kodukontor_elekter+kodukontor_valgustus)*160*ELEKTER!I28/1000</f>
        <v>0</v>
      </c>
      <c r="J29" s="340">
        <f>(kodukontor_elekter+kodukontor_valgustus)*160*ELEKTER!J28/1000</f>
        <v>0</v>
      </c>
      <c r="K29" s="340">
        <f>(kodukontor_elekter+kodukontor_valgustus)*160*ELEKTER!K28/1000</f>
        <v>0</v>
      </c>
      <c r="L29" s="340">
        <f>(kodukontor_elekter+kodukontor_valgustus)*160*ELEKTER!L28/1000</f>
        <v>0</v>
      </c>
      <c r="M29" s="340">
        <f>(kodukontor_elekter+kodukontor_valgustus)*160*ELEKTER!M28/1000</f>
        <v>0</v>
      </c>
      <c r="N29" s="340">
        <f>(kodukontor_elekter+kodukontor_valgustus)*160*ELEKTER!N28/1000</f>
        <v>0</v>
      </c>
      <c r="O29" s="341">
        <f>(kodukontor_elekter+kodukontor_valgustus)*160*ELEKTER!O28/1000</f>
        <v>0</v>
      </c>
      <c r="P29" s="349">
        <f>SUM(D29:O29)</f>
        <v>0</v>
      </c>
      <c r="Q29" s="139"/>
      <c r="R29" s="337"/>
    </row>
    <row r="30" spans="2:18" x14ac:dyDescent="0.25">
      <c r="B30" s="256"/>
      <c r="C30" s="46" t="s">
        <v>29</v>
      </c>
      <c r="D30" s="347">
        <f>SUM(D27,D29)</f>
        <v>0</v>
      </c>
      <c r="E30" s="347">
        <f t="shared" ref="E30:O30" si="5">SUM(E27,E29)</f>
        <v>0</v>
      </c>
      <c r="F30" s="347">
        <f t="shared" si="5"/>
        <v>0</v>
      </c>
      <c r="G30" s="347">
        <f t="shared" si="5"/>
        <v>0</v>
      </c>
      <c r="H30" s="347">
        <f t="shared" si="5"/>
        <v>0</v>
      </c>
      <c r="I30" s="347">
        <f t="shared" si="5"/>
        <v>0</v>
      </c>
      <c r="J30" s="347">
        <f t="shared" si="5"/>
        <v>0</v>
      </c>
      <c r="K30" s="347">
        <f t="shared" si="5"/>
        <v>0</v>
      </c>
      <c r="L30" s="347">
        <f t="shared" si="5"/>
        <v>0</v>
      </c>
      <c r="M30" s="347">
        <f t="shared" si="5"/>
        <v>0</v>
      </c>
      <c r="N30" s="347">
        <f t="shared" si="5"/>
        <v>0</v>
      </c>
      <c r="O30" s="347">
        <f t="shared" si="5"/>
        <v>0</v>
      </c>
      <c r="P30" s="349">
        <f t="shared" si="0"/>
        <v>0</v>
      </c>
      <c r="Q30" s="139"/>
      <c r="R30" s="140"/>
    </row>
    <row r="31" spans="2:18" ht="15.75" thickBot="1" x14ac:dyDescent="0.3">
      <c r="B31" s="256"/>
      <c r="C31" s="47" t="s">
        <v>348</v>
      </c>
      <c r="D31" s="498"/>
      <c r="E31" s="499"/>
      <c r="F31" s="499"/>
      <c r="G31" s="499"/>
      <c r="H31" s="499"/>
      <c r="I31" s="499"/>
      <c r="J31" s="499"/>
      <c r="K31" s="499"/>
      <c r="L31" s="499"/>
      <c r="M31" s="499"/>
      <c r="N31" s="499"/>
      <c r="O31" s="502"/>
      <c r="P31" s="349" t="e">
        <f>P30/b_2025</f>
        <v>#DIV/0!</v>
      </c>
      <c r="Q31" s="143"/>
      <c r="R31" s="144"/>
    </row>
    <row r="32" spans="2:18" x14ac:dyDescent="0.25">
      <c r="B32" s="255">
        <f>ÜLDANDMED!G10</f>
        <v>2026</v>
      </c>
      <c r="C32" s="262" t="s">
        <v>355</v>
      </c>
      <c r="D32" s="331"/>
      <c r="E32" s="331"/>
      <c r="F32" s="331"/>
      <c r="G32" s="331"/>
      <c r="H32" s="331"/>
      <c r="I32" s="331"/>
      <c r="J32" s="331"/>
      <c r="K32" s="331"/>
      <c r="L32" s="331"/>
      <c r="M32" s="331"/>
      <c r="N32" s="331"/>
      <c r="O32" s="331"/>
      <c r="P32" s="351">
        <f t="shared" si="0"/>
        <v>0</v>
      </c>
      <c r="Q32" s="338"/>
      <c r="R32" s="145"/>
    </row>
    <row r="33" spans="2:18" x14ac:dyDescent="0.25">
      <c r="B33" s="263"/>
      <c r="C33" s="47" t="s">
        <v>27</v>
      </c>
      <c r="D33" s="332"/>
      <c r="E33" s="333"/>
      <c r="F33" s="333"/>
      <c r="G33" s="333"/>
      <c r="H33" s="334"/>
      <c r="I33" s="334"/>
      <c r="J33" s="333"/>
      <c r="K33" s="333"/>
      <c r="L33" s="333"/>
      <c r="M33" s="333"/>
      <c r="N33" s="333"/>
      <c r="O33" s="335"/>
      <c r="P33" s="349" t="e">
        <f>AVERAGE(D33:O33)</f>
        <v>#DIV/0!</v>
      </c>
      <c r="Q33" s="139"/>
      <c r="R33" s="140"/>
    </row>
    <row r="34" spans="2:18" x14ac:dyDescent="0.25">
      <c r="B34" s="263"/>
      <c r="C34" s="46" t="s">
        <v>28</v>
      </c>
      <c r="D34" s="343">
        <f>(kodukontor_elekter+kodukontor_valgustus)*160*ELEKTER!D33/1000</f>
        <v>0</v>
      </c>
      <c r="E34" s="340">
        <f>(kodukontor_elekter+kodukontor_valgustus)*160*ELEKTER!E33/1000</f>
        <v>0</v>
      </c>
      <c r="F34" s="340">
        <f>(kodukontor_elekter+kodukontor_valgustus)*160*ELEKTER!F33/1000</f>
        <v>0</v>
      </c>
      <c r="G34" s="340">
        <f>(kodukontor_elekter+kodukontor_valgustus)*160*ELEKTER!G33/1000</f>
        <v>0</v>
      </c>
      <c r="H34" s="340">
        <f>(kodukontor_elekter+kodukontor_valgustus)*160*ELEKTER!H33/1000</f>
        <v>0</v>
      </c>
      <c r="I34" s="340">
        <f>(kodukontor_elekter+kodukontor_valgustus)*160*ELEKTER!I33/1000</f>
        <v>0</v>
      </c>
      <c r="J34" s="340">
        <f>(kodukontor_elekter+kodukontor_valgustus)*160*ELEKTER!J33/1000</f>
        <v>0</v>
      </c>
      <c r="K34" s="340">
        <f>(kodukontor_elekter+kodukontor_valgustus)*160*ELEKTER!K33/1000</f>
        <v>0</v>
      </c>
      <c r="L34" s="340">
        <f>(kodukontor_elekter+kodukontor_valgustus)*160*ELEKTER!L33/1000</f>
        <v>0</v>
      </c>
      <c r="M34" s="340">
        <f>(kodukontor_elekter+kodukontor_valgustus)*160*ELEKTER!M33/1000</f>
        <v>0</v>
      </c>
      <c r="N34" s="340">
        <f>(kodukontor_elekter+kodukontor_valgustus)*160*ELEKTER!N33/1000</f>
        <v>0</v>
      </c>
      <c r="O34" s="341">
        <f>(kodukontor_elekter+kodukontor_valgustus)*160*ELEKTER!O33/1000</f>
        <v>0</v>
      </c>
      <c r="P34" s="349">
        <f>SUM(D34:O34)</f>
        <v>0</v>
      </c>
      <c r="Q34" s="139"/>
      <c r="R34" s="337"/>
    </row>
    <row r="35" spans="2:18" x14ac:dyDescent="0.25">
      <c r="B35" s="256"/>
      <c r="C35" s="46" t="s">
        <v>29</v>
      </c>
      <c r="D35" s="347">
        <f>SUM(D32,D34)</f>
        <v>0</v>
      </c>
      <c r="E35" s="347">
        <f t="shared" ref="E35:O35" si="6">SUM(E32,E34)</f>
        <v>0</v>
      </c>
      <c r="F35" s="347">
        <f t="shared" si="6"/>
        <v>0</v>
      </c>
      <c r="G35" s="347">
        <f t="shared" si="6"/>
        <v>0</v>
      </c>
      <c r="H35" s="347">
        <f t="shared" si="6"/>
        <v>0</v>
      </c>
      <c r="I35" s="347">
        <f t="shared" si="6"/>
        <v>0</v>
      </c>
      <c r="J35" s="347">
        <f t="shared" si="6"/>
        <v>0</v>
      </c>
      <c r="K35" s="347">
        <f t="shared" si="6"/>
        <v>0</v>
      </c>
      <c r="L35" s="347">
        <f t="shared" si="6"/>
        <v>0</v>
      </c>
      <c r="M35" s="347">
        <f t="shared" si="6"/>
        <v>0</v>
      </c>
      <c r="N35" s="347">
        <f t="shared" si="6"/>
        <v>0</v>
      </c>
      <c r="O35" s="347">
        <f t="shared" si="6"/>
        <v>0</v>
      </c>
      <c r="P35" s="349">
        <f t="shared" si="0"/>
        <v>0</v>
      </c>
      <c r="Q35" s="139"/>
      <c r="R35" s="140"/>
    </row>
    <row r="36" spans="2:18" ht="15.75" thickBot="1" x14ac:dyDescent="0.3">
      <c r="B36" s="256"/>
      <c r="C36" s="47" t="s">
        <v>348</v>
      </c>
      <c r="D36" s="498"/>
      <c r="E36" s="499"/>
      <c r="F36" s="499"/>
      <c r="G36" s="499"/>
      <c r="H36" s="499"/>
      <c r="I36" s="499"/>
      <c r="J36" s="499"/>
      <c r="K36" s="499"/>
      <c r="L36" s="499"/>
      <c r="M36" s="499"/>
      <c r="N36" s="499"/>
      <c r="O36" s="502"/>
      <c r="P36" s="349" t="e">
        <f>P35/b_2026</f>
        <v>#DIV/0!</v>
      </c>
      <c r="Q36" s="141"/>
      <c r="R36" s="142"/>
    </row>
    <row r="37" spans="2:18" x14ac:dyDescent="0.25">
      <c r="B37" s="255">
        <f>ÜLDANDMED!H10</f>
        <v>2027</v>
      </c>
      <c r="C37" s="262" t="s">
        <v>355</v>
      </c>
      <c r="D37" s="331"/>
      <c r="E37" s="331"/>
      <c r="F37" s="331"/>
      <c r="G37" s="331"/>
      <c r="H37" s="331"/>
      <c r="I37" s="331"/>
      <c r="J37" s="331"/>
      <c r="K37" s="331"/>
      <c r="L37" s="331"/>
      <c r="M37" s="331"/>
      <c r="N37" s="331"/>
      <c r="O37" s="331"/>
      <c r="P37" s="351">
        <f t="shared" si="0"/>
        <v>0</v>
      </c>
      <c r="Q37" s="336"/>
      <c r="R37" s="138"/>
    </row>
    <row r="38" spans="2:18" x14ac:dyDescent="0.25">
      <c r="B38" s="263"/>
      <c r="C38" s="47" t="s">
        <v>27</v>
      </c>
      <c r="D38" s="332"/>
      <c r="E38" s="333"/>
      <c r="F38" s="333"/>
      <c r="G38" s="333"/>
      <c r="H38" s="334"/>
      <c r="I38" s="334"/>
      <c r="J38" s="333"/>
      <c r="K38" s="333"/>
      <c r="L38" s="333"/>
      <c r="M38" s="333"/>
      <c r="N38" s="333"/>
      <c r="O38" s="335"/>
      <c r="P38" s="349" t="e">
        <f>AVERAGE(D38:O38)</f>
        <v>#DIV/0!</v>
      </c>
      <c r="Q38" s="139"/>
      <c r="R38" s="140"/>
    </row>
    <row r="39" spans="2:18" x14ac:dyDescent="0.25">
      <c r="B39" s="263"/>
      <c r="C39" s="46" t="s">
        <v>28</v>
      </c>
      <c r="D39" s="343">
        <f>(kodukontor_elekter+kodukontor_valgustus)*160*ELEKTER!D38/1000</f>
        <v>0</v>
      </c>
      <c r="E39" s="340">
        <f>(kodukontor_elekter+kodukontor_valgustus)*160*ELEKTER!E38/1000</f>
        <v>0</v>
      </c>
      <c r="F39" s="340">
        <f>(kodukontor_elekter+kodukontor_valgustus)*160*ELEKTER!F38/1000</f>
        <v>0</v>
      </c>
      <c r="G39" s="340">
        <f>(kodukontor_elekter+kodukontor_valgustus)*160*ELEKTER!G38/1000</f>
        <v>0</v>
      </c>
      <c r="H39" s="340">
        <f>(kodukontor_elekter+kodukontor_valgustus)*160*ELEKTER!H38/1000</f>
        <v>0</v>
      </c>
      <c r="I39" s="340">
        <f>(kodukontor_elekter+kodukontor_valgustus)*160*ELEKTER!I38/1000</f>
        <v>0</v>
      </c>
      <c r="J39" s="340">
        <f>(kodukontor_elekter+kodukontor_valgustus)*160*ELEKTER!J38/1000</f>
        <v>0</v>
      </c>
      <c r="K39" s="340">
        <f>(kodukontor_elekter+kodukontor_valgustus)*160*ELEKTER!K38/1000</f>
        <v>0</v>
      </c>
      <c r="L39" s="340">
        <f>(kodukontor_elekter+kodukontor_valgustus)*160*ELEKTER!L38/1000</f>
        <v>0</v>
      </c>
      <c r="M39" s="340">
        <f>(kodukontor_elekter+kodukontor_valgustus)*160*ELEKTER!M38/1000</f>
        <v>0</v>
      </c>
      <c r="N39" s="340">
        <f>(kodukontor_elekter+kodukontor_valgustus)*160*ELEKTER!N38/1000</f>
        <v>0</v>
      </c>
      <c r="O39" s="341">
        <f>(kodukontor_elekter+kodukontor_valgustus)*160*ELEKTER!O38/1000</f>
        <v>0</v>
      </c>
      <c r="P39" s="349">
        <f>SUM(D39:O39)</f>
        <v>0</v>
      </c>
      <c r="Q39" s="139"/>
      <c r="R39" s="337"/>
    </row>
    <row r="40" spans="2:18" x14ac:dyDescent="0.25">
      <c r="B40" s="256"/>
      <c r="C40" s="46" t="s">
        <v>29</v>
      </c>
      <c r="D40" s="347">
        <f>SUM(D37,D39)</f>
        <v>0</v>
      </c>
      <c r="E40" s="347">
        <f t="shared" ref="E40:O40" si="7">SUM(E37,E39)</f>
        <v>0</v>
      </c>
      <c r="F40" s="347">
        <f t="shared" si="7"/>
        <v>0</v>
      </c>
      <c r="G40" s="347">
        <f t="shared" si="7"/>
        <v>0</v>
      </c>
      <c r="H40" s="347">
        <f t="shared" si="7"/>
        <v>0</v>
      </c>
      <c r="I40" s="347">
        <f t="shared" si="7"/>
        <v>0</v>
      </c>
      <c r="J40" s="347">
        <f t="shared" si="7"/>
        <v>0</v>
      </c>
      <c r="K40" s="347">
        <f t="shared" si="7"/>
        <v>0</v>
      </c>
      <c r="L40" s="347">
        <f t="shared" si="7"/>
        <v>0</v>
      </c>
      <c r="M40" s="347">
        <f t="shared" si="7"/>
        <v>0</v>
      </c>
      <c r="N40" s="347">
        <f t="shared" si="7"/>
        <v>0</v>
      </c>
      <c r="O40" s="347">
        <f t="shared" si="7"/>
        <v>0</v>
      </c>
      <c r="P40" s="349">
        <f t="shared" si="0"/>
        <v>0</v>
      </c>
      <c r="Q40" s="139"/>
      <c r="R40" s="140"/>
    </row>
    <row r="41" spans="2:18" ht="15.75" thickBot="1" x14ac:dyDescent="0.3">
      <c r="B41" s="256"/>
      <c r="C41" s="47" t="s">
        <v>348</v>
      </c>
      <c r="D41" s="503"/>
      <c r="E41" s="504"/>
      <c r="F41" s="504"/>
      <c r="G41" s="504"/>
      <c r="H41" s="504"/>
      <c r="I41" s="504"/>
      <c r="J41" s="504"/>
      <c r="K41" s="504"/>
      <c r="L41" s="504"/>
      <c r="M41" s="504"/>
      <c r="N41" s="504"/>
      <c r="O41" s="505"/>
      <c r="P41" s="349" t="e">
        <f>P40/b_2027</f>
        <v>#DIV/0!</v>
      </c>
      <c r="Q41" s="143"/>
      <c r="R41" s="144"/>
    </row>
    <row r="42" spans="2:18" x14ac:dyDescent="0.25">
      <c r="B42" s="255">
        <f>ÜLDANDMED!I10</f>
        <v>2028</v>
      </c>
      <c r="C42" s="262" t="s">
        <v>355</v>
      </c>
      <c r="D42" s="331"/>
      <c r="E42" s="331"/>
      <c r="F42" s="331"/>
      <c r="G42" s="331"/>
      <c r="H42" s="331"/>
      <c r="I42" s="331"/>
      <c r="J42" s="331"/>
      <c r="K42" s="331"/>
      <c r="L42" s="331"/>
      <c r="M42" s="331"/>
      <c r="N42" s="331"/>
      <c r="O42" s="331"/>
      <c r="P42" s="351">
        <f t="shared" ref="P42:P45" si="8">SUM(D42:O42)</f>
        <v>0</v>
      </c>
      <c r="Q42" s="338"/>
      <c r="R42" s="145"/>
    </row>
    <row r="43" spans="2:18" x14ac:dyDescent="0.25">
      <c r="B43" s="263"/>
      <c r="C43" s="47" t="s">
        <v>27</v>
      </c>
      <c r="D43" s="332"/>
      <c r="E43" s="333"/>
      <c r="F43" s="333"/>
      <c r="G43" s="333"/>
      <c r="H43" s="334"/>
      <c r="I43" s="334"/>
      <c r="J43" s="333"/>
      <c r="K43" s="333"/>
      <c r="L43" s="333"/>
      <c r="M43" s="333"/>
      <c r="N43" s="333"/>
      <c r="O43" s="335"/>
      <c r="P43" s="349" t="e">
        <f>AVERAGE(D43:O43)</f>
        <v>#DIV/0!</v>
      </c>
      <c r="Q43" s="139"/>
      <c r="R43" s="140"/>
    </row>
    <row r="44" spans="2:18" x14ac:dyDescent="0.25">
      <c r="B44" s="263"/>
      <c r="C44" s="46" t="s">
        <v>28</v>
      </c>
      <c r="D44" s="343">
        <f>(kodukontor_elekter+kodukontor_valgustus)*160*ELEKTER!D43/1000</f>
        <v>0</v>
      </c>
      <c r="E44" s="340">
        <f>(kodukontor_elekter+kodukontor_valgustus)*160*ELEKTER!E43/1000</f>
        <v>0</v>
      </c>
      <c r="F44" s="340">
        <f>(kodukontor_elekter+kodukontor_valgustus)*160*ELEKTER!F43/1000</f>
        <v>0</v>
      </c>
      <c r="G44" s="340">
        <f>(kodukontor_elekter+kodukontor_valgustus)*160*ELEKTER!G43/1000</f>
        <v>0</v>
      </c>
      <c r="H44" s="340">
        <f>(kodukontor_elekter+kodukontor_valgustus)*160*ELEKTER!H43/1000</f>
        <v>0</v>
      </c>
      <c r="I44" s="340">
        <f>(kodukontor_elekter+kodukontor_valgustus)*160*ELEKTER!I43/1000</f>
        <v>0</v>
      </c>
      <c r="J44" s="340">
        <f>(kodukontor_elekter+kodukontor_valgustus)*160*ELEKTER!J43/1000</f>
        <v>0</v>
      </c>
      <c r="K44" s="340">
        <f>(kodukontor_elekter+kodukontor_valgustus)*160*ELEKTER!K43/1000</f>
        <v>0</v>
      </c>
      <c r="L44" s="340">
        <f>(kodukontor_elekter+kodukontor_valgustus)*160*ELEKTER!L43/1000</f>
        <v>0</v>
      </c>
      <c r="M44" s="340">
        <f>(kodukontor_elekter+kodukontor_valgustus)*160*ELEKTER!M43/1000</f>
        <v>0</v>
      </c>
      <c r="N44" s="340">
        <f>(kodukontor_elekter+kodukontor_valgustus)*160*ELEKTER!N43/1000</f>
        <v>0</v>
      </c>
      <c r="O44" s="341">
        <f>(kodukontor_elekter+kodukontor_valgustus)*160*ELEKTER!O43/1000</f>
        <v>0</v>
      </c>
      <c r="P44" s="349">
        <f>SUM(D44:O44)</f>
        <v>0</v>
      </c>
      <c r="Q44" s="139"/>
      <c r="R44" s="337"/>
    </row>
    <row r="45" spans="2:18" x14ac:dyDescent="0.25">
      <c r="B45" s="256"/>
      <c r="C45" s="46" t="s">
        <v>29</v>
      </c>
      <c r="D45" s="347">
        <f>SUM(D42,D44)</f>
        <v>0</v>
      </c>
      <c r="E45" s="347">
        <f t="shared" ref="E45:O45" si="9">SUM(E42,E44)</f>
        <v>0</v>
      </c>
      <c r="F45" s="347">
        <f t="shared" si="9"/>
        <v>0</v>
      </c>
      <c r="G45" s="347">
        <f t="shared" si="9"/>
        <v>0</v>
      </c>
      <c r="H45" s="347">
        <f t="shared" si="9"/>
        <v>0</v>
      </c>
      <c r="I45" s="347">
        <f t="shared" si="9"/>
        <v>0</v>
      </c>
      <c r="J45" s="347">
        <f t="shared" si="9"/>
        <v>0</v>
      </c>
      <c r="K45" s="347">
        <f t="shared" si="9"/>
        <v>0</v>
      </c>
      <c r="L45" s="347">
        <f t="shared" si="9"/>
        <v>0</v>
      </c>
      <c r="M45" s="347">
        <f t="shared" si="9"/>
        <v>0</v>
      </c>
      <c r="N45" s="347">
        <f t="shared" si="9"/>
        <v>0</v>
      </c>
      <c r="O45" s="347">
        <f t="shared" si="9"/>
        <v>0</v>
      </c>
      <c r="P45" s="349">
        <f t="shared" si="8"/>
        <v>0</v>
      </c>
      <c r="Q45" s="139"/>
      <c r="R45" s="140"/>
    </row>
    <row r="46" spans="2:18" ht="15.75" thickBot="1" x14ac:dyDescent="0.3">
      <c r="B46" s="257"/>
      <c r="C46" s="47" t="s">
        <v>348</v>
      </c>
      <c r="D46" s="506"/>
      <c r="E46" s="501"/>
      <c r="F46" s="501"/>
      <c r="G46" s="501"/>
      <c r="H46" s="501"/>
      <c r="I46" s="501"/>
      <c r="J46" s="501"/>
      <c r="K46" s="501"/>
      <c r="L46" s="501"/>
      <c r="M46" s="501"/>
      <c r="N46" s="501"/>
      <c r="O46" s="507"/>
      <c r="P46" s="349" t="e">
        <f>P45/b_2028</f>
        <v>#DIV/0!</v>
      </c>
      <c r="Q46" s="143"/>
      <c r="R46" s="144"/>
    </row>
  </sheetData>
  <mergeCells count="19">
    <mergeCell ref="P10:P11"/>
    <mergeCell ref="J10:J11"/>
    <mergeCell ref="K10:K11"/>
    <mergeCell ref="L10:L11"/>
    <mergeCell ref="M10:M11"/>
    <mergeCell ref="N10:N11"/>
    <mergeCell ref="B3:R3"/>
    <mergeCell ref="H10:H11"/>
    <mergeCell ref="I10:I11"/>
    <mergeCell ref="D10:D11"/>
    <mergeCell ref="E10:E11"/>
    <mergeCell ref="F10:F11"/>
    <mergeCell ref="G10:G11"/>
    <mergeCell ref="C10:C11"/>
    <mergeCell ref="O10:O11"/>
    <mergeCell ref="Q9:R9"/>
    <mergeCell ref="B5:C5"/>
    <mergeCell ref="Q10:R10"/>
    <mergeCell ref="B10:B11"/>
  </mergeCells>
  <pageMargins left="0.70866141732283472" right="0.70866141732283472" top="0.74803149606299213" bottom="0.74803149606299213" header="0.31496062992125984" footer="0.31496062992125984"/>
  <pageSetup paperSize="9" scale="39" fitToHeight="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CBA12"/>
    <pageSetUpPr fitToPage="1"/>
  </sheetPr>
  <dimension ref="A1:U55"/>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RowHeight="15" x14ac:dyDescent="0.25"/>
  <cols>
    <col min="1" max="1" width="2.5703125" customWidth="1"/>
    <col min="2" max="2" width="7.5703125" customWidth="1"/>
    <col min="3" max="3" width="43" style="3" bestFit="1" customWidth="1"/>
    <col min="4" max="15" width="10.7109375" style="3" customWidth="1"/>
    <col min="16" max="16" width="15.7109375" style="55" customWidth="1"/>
    <col min="17" max="18" width="15.7109375" style="3" customWidth="1"/>
    <col min="19" max="19" width="15.7109375" style="63" customWidth="1"/>
  </cols>
  <sheetData>
    <row r="1" spans="1:21" ht="18.75" x14ac:dyDescent="0.3">
      <c r="B1" s="32" t="s">
        <v>30</v>
      </c>
    </row>
    <row r="2" spans="1:21" x14ac:dyDescent="0.25">
      <c r="A2" s="1"/>
      <c r="B2" s="100"/>
    </row>
    <row r="3" spans="1:21" ht="189" customHeight="1" x14ac:dyDescent="0.25">
      <c r="A3" s="1"/>
      <c r="B3" s="570" t="s">
        <v>382</v>
      </c>
      <c r="C3" s="579"/>
      <c r="D3" s="579"/>
      <c r="E3" s="579"/>
      <c r="F3" s="579"/>
      <c r="G3" s="579"/>
      <c r="H3" s="579"/>
      <c r="I3" s="579"/>
      <c r="J3" s="579"/>
      <c r="K3" s="579"/>
      <c r="L3" s="579"/>
      <c r="M3" s="579"/>
      <c r="N3" s="579"/>
      <c r="O3" s="579"/>
      <c r="P3" s="580"/>
      <c r="Q3"/>
      <c r="R3"/>
      <c r="S3"/>
    </row>
    <row r="4" spans="1:21" ht="15.75" x14ac:dyDescent="0.25">
      <c r="A4" s="1"/>
      <c r="B4" s="36"/>
      <c r="C4" s="43"/>
      <c r="D4" s="36"/>
      <c r="E4" s="36"/>
      <c r="F4" s="36"/>
      <c r="G4" s="36"/>
      <c r="H4" s="36"/>
      <c r="I4" s="36"/>
      <c r="Q4" s="43"/>
      <c r="R4" s="43"/>
      <c r="S4" s="64"/>
    </row>
    <row r="5" spans="1:21" ht="15.75" x14ac:dyDescent="0.25">
      <c r="A5" s="1"/>
      <c r="B5" s="589" t="s">
        <v>2</v>
      </c>
      <c r="C5" s="589"/>
      <c r="D5" s="30"/>
      <c r="E5" s="30"/>
      <c r="Q5" s="126"/>
      <c r="R5" s="126"/>
      <c r="S5" s="65"/>
      <c r="U5" s="33"/>
    </row>
    <row r="6" spans="1:21" ht="14.65" customHeight="1" x14ac:dyDescent="0.25">
      <c r="A6" s="1"/>
      <c r="C6" s="367" t="s">
        <v>3</v>
      </c>
      <c r="D6" s="30"/>
      <c r="E6" s="30"/>
      <c r="Q6"/>
      <c r="R6"/>
      <c r="S6" s="66"/>
    </row>
    <row r="7" spans="1:21" ht="14.65" customHeight="1" x14ac:dyDescent="0.25">
      <c r="A7" s="1"/>
      <c r="C7" s="356" t="s">
        <v>31</v>
      </c>
      <c r="D7" s="30"/>
      <c r="E7" s="30"/>
      <c r="P7" s="280"/>
      <c r="Q7"/>
      <c r="R7"/>
      <c r="S7" s="66"/>
    </row>
    <row r="8" spans="1:21" ht="14.65" customHeight="1" x14ac:dyDescent="0.25">
      <c r="A8" s="1"/>
      <c r="C8" s="363" t="s">
        <v>4</v>
      </c>
      <c r="D8" s="30"/>
      <c r="E8" s="30"/>
      <c r="Q8"/>
      <c r="R8"/>
      <c r="S8" s="66"/>
    </row>
    <row r="9" spans="1:21" s="19" customFormat="1" ht="14.65" customHeight="1" thickBot="1" x14ac:dyDescent="0.3">
      <c r="C9" s="150" t="s">
        <v>7</v>
      </c>
      <c r="F9" s="20"/>
      <c r="G9" s="20"/>
      <c r="H9" s="20"/>
      <c r="I9" s="20"/>
      <c r="J9" s="20"/>
      <c r="K9" s="20"/>
      <c r="L9" s="20"/>
      <c r="M9" s="20"/>
      <c r="N9" s="20"/>
      <c r="O9" s="51"/>
      <c r="P9" s="52"/>
      <c r="Q9"/>
      <c r="R9"/>
    </row>
    <row r="10" spans="1:21" ht="15.75" thickBot="1" x14ac:dyDescent="0.3">
      <c r="Q10" s="587" t="s">
        <v>8</v>
      </c>
      <c r="R10" s="609"/>
      <c r="S10" s="588"/>
    </row>
    <row r="11" spans="1:21" s="2" customFormat="1" ht="14.65" customHeight="1" x14ac:dyDescent="0.2">
      <c r="B11" s="603" t="s">
        <v>9</v>
      </c>
      <c r="C11" s="619" t="s">
        <v>10</v>
      </c>
      <c r="D11" s="616" t="s">
        <v>11</v>
      </c>
      <c r="E11" s="600" t="s">
        <v>12</v>
      </c>
      <c r="F11" s="600" t="s">
        <v>13</v>
      </c>
      <c r="G11" s="600" t="s">
        <v>14</v>
      </c>
      <c r="H11" s="600" t="s">
        <v>15</v>
      </c>
      <c r="I11" s="600" t="s">
        <v>16</v>
      </c>
      <c r="J11" s="600" t="s">
        <v>17</v>
      </c>
      <c r="K11" s="600" t="s">
        <v>18</v>
      </c>
      <c r="L11" s="600" t="s">
        <v>19</v>
      </c>
      <c r="M11" s="600" t="s">
        <v>20</v>
      </c>
      <c r="N11" s="600" t="s">
        <v>21</v>
      </c>
      <c r="O11" s="597" t="s">
        <v>22</v>
      </c>
      <c r="P11" s="603" t="s">
        <v>23</v>
      </c>
      <c r="Q11" s="610" t="s">
        <v>32</v>
      </c>
      <c r="R11" s="606" t="s">
        <v>33</v>
      </c>
      <c r="S11" s="613" t="s">
        <v>34</v>
      </c>
    </row>
    <row r="12" spans="1:21" s="2" customFormat="1" ht="14.65" customHeight="1" x14ac:dyDescent="0.2">
      <c r="B12" s="604"/>
      <c r="C12" s="620"/>
      <c r="D12" s="617"/>
      <c r="E12" s="601"/>
      <c r="F12" s="601"/>
      <c r="G12" s="601"/>
      <c r="H12" s="601"/>
      <c r="I12" s="601"/>
      <c r="J12" s="601"/>
      <c r="K12" s="601"/>
      <c r="L12" s="601"/>
      <c r="M12" s="601"/>
      <c r="N12" s="601"/>
      <c r="O12" s="598"/>
      <c r="P12" s="604"/>
      <c r="Q12" s="611"/>
      <c r="R12" s="607"/>
      <c r="S12" s="614"/>
    </row>
    <row r="13" spans="1:21" s="2" customFormat="1" ht="14.65" customHeight="1" x14ac:dyDescent="0.2">
      <c r="B13" s="604"/>
      <c r="C13" s="620"/>
      <c r="D13" s="617"/>
      <c r="E13" s="601"/>
      <c r="F13" s="601"/>
      <c r="G13" s="601"/>
      <c r="H13" s="601"/>
      <c r="I13" s="601"/>
      <c r="J13" s="601"/>
      <c r="K13" s="601"/>
      <c r="L13" s="601"/>
      <c r="M13" s="601"/>
      <c r="N13" s="601"/>
      <c r="O13" s="598"/>
      <c r="P13" s="604"/>
      <c r="Q13" s="611"/>
      <c r="R13" s="607"/>
      <c r="S13" s="614"/>
    </row>
    <row r="14" spans="1:21" ht="14.65" customHeight="1" thickBot="1" x14ac:dyDescent="0.3">
      <c r="B14" s="605"/>
      <c r="C14" s="621"/>
      <c r="D14" s="618"/>
      <c r="E14" s="602"/>
      <c r="F14" s="602"/>
      <c r="G14" s="602"/>
      <c r="H14" s="602"/>
      <c r="I14" s="602"/>
      <c r="J14" s="602"/>
      <c r="K14" s="602"/>
      <c r="L14" s="602"/>
      <c r="M14" s="602"/>
      <c r="N14" s="602"/>
      <c r="O14" s="599"/>
      <c r="P14" s="605"/>
      <c r="Q14" s="612"/>
      <c r="R14" s="608"/>
      <c r="S14" s="615"/>
    </row>
    <row r="15" spans="1:21" x14ac:dyDescent="0.25">
      <c r="B15" s="595">
        <f>ÜLDANDMED!C10</f>
        <v>2022</v>
      </c>
      <c r="C15" s="44" t="s">
        <v>356</v>
      </c>
      <c r="D15" s="360"/>
      <c r="E15" s="361"/>
      <c r="F15" s="361"/>
      <c r="G15" s="361"/>
      <c r="H15" s="361"/>
      <c r="I15" s="361"/>
      <c r="J15" s="361"/>
      <c r="K15" s="361"/>
      <c r="L15" s="361"/>
      <c r="M15" s="361"/>
      <c r="N15" s="361"/>
      <c r="O15" s="361"/>
      <c r="P15" s="364">
        <f>SUM(D15:O15)</f>
        <v>0</v>
      </c>
      <c r="Q15" s="357"/>
      <c r="R15" s="277" t="str">
        <f>IF(Q15="Tallinn",LOOKUP(Q15,'KHG eriheitetegurid'!$C$18,'KHG eriheitetegurid'!$D$18),IF(Q15="Tartu",LOOKUP(Q15,'KHG eriheitetegurid'!$C$27,'KHG eriheitetegurid'!$D$27),IF(Q15="Pärnu",LOOKUP(Q15,'KHG eriheitetegurid'!C36,'KHG eriheitetegurid'!D36),IF(OR(Q15="Muu",Q15=""),""))))</f>
        <v/>
      </c>
      <c r="S15" s="358"/>
      <c r="U15" s="49"/>
    </row>
    <row r="16" spans="1:21" ht="16.5" thickBot="1" x14ac:dyDescent="0.3">
      <c r="B16" s="596"/>
      <c r="C16" s="48" t="s">
        <v>35</v>
      </c>
      <c r="D16" s="362" t="e">
        <f t="shared" ref="D16:O16" si="0">D15/c_2022</f>
        <v>#DIV/0!</v>
      </c>
      <c r="E16" s="362" t="e">
        <f t="shared" si="0"/>
        <v>#DIV/0!</v>
      </c>
      <c r="F16" s="362" t="e">
        <f t="shared" si="0"/>
        <v>#DIV/0!</v>
      </c>
      <c r="G16" s="362" t="e">
        <f t="shared" si="0"/>
        <v>#DIV/0!</v>
      </c>
      <c r="H16" s="362" t="e">
        <f t="shared" si="0"/>
        <v>#DIV/0!</v>
      </c>
      <c r="I16" s="362" t="e">
        <f t="shared" si="0"/>
        <v>#DIV/0!</v>
      </c>
      <c r="J16" s="362" t="e">
        <f t="shared" si="0"/>
        <v>#DIV/0!</v>
      </c>
      <c r="K16" s="362" t="e">
        <f t="shared" si="0"/>
        <v>#DIV/0!</v>
      </c>
      <c r="L16" s="362" t="e">
        <f t="shared" si="0"/>
        <v>#DIV/0!</v>
      </c>
      <c r="M16" s="362" t="e">
        <f t="shared" si="0"/>
        <v>#DIV/0!</v>
      </c>
      <c r="N16" s="362" t="e">
        <f t="shared" si="0"/>
        <v>#DIV/0!</v>
      </c>
      <c r="O16" s="362" t="e">
        <f t="shared" si="0"/>
        <v>#DIV/0!</v>
      </c>
      <c r="P16" s="365" t="e">
        <f>SUM(D16:O16)</f>
        <v>#DIV/0!</v>
      </c>
      <c r="Q16" s="147"/>
      <c r="R16" s="149"/>
      <c r="S16" s="276"/>
    </row>
    <row r="17" spans="2:19" x14ac:dyDescent="0.25">
      <c r="B17" s="595">
        <f>ÜLDANDMED!D10</f>
        <v>2023</v>
      </c>
      <c r="C17" s="44" t="s">
        <v>356</v>
      </c>
      <c r="D17" s="360"/>
      <c r="E17" s="361"/>
      <c r="F17" s="361"/>
      <c r="G17" s="361"/>
      <c r="H17" s="361"/>
      <c r="I17" s="361"/>
      <c r="J17" s="361"/>
      <c r="K17" s="361"/>
      <c r="L17" s="361"/>
      <c r="M17" s="361"/>
      <c r="N17" s="361"/>
      <c r="O17" s="361"/>
      <c r="P17" s="364">
        <f t="shared" ref="P17:P26" si="1">SUM(D17:O17)</f>
        <v>0</v>
      </c>
      <c r="Q17" s="357"/>
      <c r="R17" s="277" t="str">
        <f>IF(Q17="Tallinn",LOOKUP(Q17,'KHG eriheitetegurid'!$C$19,'KHG eriheitetegurid'!$D$19),IF(Q17="Tartu",LOOKUP(Q17,'KHG eriheitetegurid'!$C$28,'KHG eriheitetegurid'!$D$28),IF(Q17="Pärnu",LOOKUP(Q17,'KHG eriheitetegurid'!C37,'KHG eriheitetegurid'!D37),IF(OR(Q17="Muu",Q17=""),""))))</f>
        <v/>
      </c>
      <c r="S17" s="358"/>
    </row>
    <row r="18" spans="2:19" ht="16.5" thickBot="1" x14ac:dyDescent="0.3">
      <c r="B18" s="596"/>
      <c r="C18" s="48" t="s">
        <v>35</v>
      </c>
      <c r="D18" s="362" t="e">
        <f t="shared" ref="D18:O18" si="2">D17/c_2023</f>
        <v>#DIV/0!</v>
      </c>
      <c r="E18" s="362" t="e">
        <f t="shared" si="2"/>
        <v>#DIV/0!</v>
      </c>
      <c r="F18" s="362" t="e">
        <f t="shared" si="2"/>
        <v>#DIV/0!</v>
      </c>
      <c r="G18" s="362" t="e">
        <f t="shared" si="2"/>
        <v>#DIV/0!</v>
      </c>
      <c r="H18" s="362" t="e">
        <f t="shared" si="2"/>
        <v>#DIV/0!</v>
      </c>
      <c r="I18" s="362" t="e">
        <f t="shared" si="2"/>
        <v>#DIV/0!</v>
      </c>
      <c r="J18" s="362" t="e">
        <f t="shared" si="2"/>
        <v>#DIV/0!</v>
      </c>
      <c r="K18" s="362" t="e">
        <f t="shared" si="2"/>
        <v>#DIV/0!</v>
      </c>
      <c r="L18" s="362" t="e">
        <f t="shared" si="2"/>
        <v>#DIV/0!</v>
      </c>
      <c r="M18" s="362" t="e">
        <f t="shared" si="2"/>
        <v>#DIV/0!</v>
      </c>
      <c r="N18" s="362" t="e">
        <f t="shared" si="2"/>
        <v>#DIV/0!</v>
      </c>
      <c r="O18" s="362" t="e">
        <f t="shared" si="2"/>
        <v>#DIV/0!</v>
      </c>
      <c r="P18" s="365" t="e">
        <f t="shared" si="1"/>
        <v>#DIV/0!</v>
      </c>
      <c r="Q18" s="147"/>
      <c r="R18" s="149"/>
      <c r="S18" s="276"/>
    </row>
    <row r="19" spans="2:19" x14ac:dyDescent="0.25">
      <c r="B19" s="595">
        <f>ÜLDANDMED!E10</f>
        <v>2024</v>
      </c>
      <c r="C19" s="44" t="s">
        <v>356</v>
      </c>
      <c r="D19" s="360"/>
      <c r="E19" s="361"/>
      <c r="F19" s="361"/>
      <c r="G19" s="361"/>
      <c r="H19" s="361"/>
      <c r="I19" s="361"/>
      <c r="J19" s="361"/>
      <c r="K19" s="361"/>
      <c r="L19" s="361"/>
      <c r="M19" s="361"/>
      <c r="N19" s="361"/>
      <c r="O19" s="361"/>
      <c r="P19" s="364">
        <f t="shared" si="1"/>
        <v>0</v>
      </c>
      <c r="Q19" s="357"/>
      <c r="R19" s="277" t="str">
        <f>IF(Q19="Tallinn",LOOKUP(Q19,'KHG eriheitetegurid'!$C$20,'KHG eriheitetegurid'!$D$20),IF(Q19="Tartu",LOOKUP(Q19,'KHG eriheitetegurid'!$C$29,'KHG eriheitetegurid'!$D$29),IF(Q19="Pärnu",LOOKUP(Q19,'KHG eriheitetegurid'!C38,'KHG eriheitetegurid'!D38),IF(OR(Q19="Muu",Q19=""),""))))</f>
        <v/>
      </c>
      <c r="S19" s="359"/>
    </row>
    <row r="20" spans="2:19" ht="16.5" thickBot="1" x14ac:dyDescent="0.3">
      <c r="B20" s="596"/>
      <c r="C20" s="48" t="s">
        <v>35</v>
      </c>
      <c r="D20" s="362" t="e">
        <f t="shared" ref="D20:O20" si="3">D19/c_2024</f>
        <v>#DIV/0!</v>
      </c>
      <c r="E20" s="362" t="e">
        <f t="shared" si="3"/>
        <v>#DIV/0!</v>
      </c>
      <c r="F20" s="362" t="e">
        <f t="shared" si="3"/>
        <v>#DIV/0!</v>
      </c>
      <c r="G20" s="362" t="e">
        <f t="shared" si="3"/>
        <v>#DIV/0!</v>
      </c>
      <c r="H20" s="362" t="e">
        <f t="shared" si="3"/>
        <v>#DIV/0!</v>
      </c>
      <c r="I20" s="362" t="e">
        <f t="shared" si="3"/>
        <v>#DIV/0!</v>
      </c>
      <c r="J20" s="362" t="e">
        <f t="shared" si="3"/>
        <v>#DIV/0!</v>
      </c>
      <c r="K20" s="362" t="e">
        <f t="shared" si="3"/>
        <v>#DIV/0!</v>
      </c>
      <c r="L20" s="362" t="e">
        <f t="shared" si="3"/>
        <v>#DIV/0!</v>
      </c>
      <c r="M20" s="362" t="e">
        <f t="shared" si="3"/>
        <v>#DIV/0!</v>
      </c>
      <c r="N20" s="362" t="e">
        <f t="shared" si="3"/>
        <v>#DIV/0!</v>
      </c>
      <c r="O20" s="362" t="e">
        <f t="shared" si="3"/>
        <v>#DIV/0!</v>
      </c>
      <c r="P20" s="365" t="e">
        <f t="shared" si="1"/>
        <v>#DIV/0!</v>
      </c>
      <c r="Q20" s="147"/>
      <c r="R20" s="149"/>
      <c r="S20" s="276"/>
    </row>
    <row r="21" spans="2:19" x14ac:dyDescent="0.25">
      <c r="B21" s="595">
        <f>ÜLDANDMED!F10</f>
        <v>2025</v>
      </c>
      <c r="C21" s="44" t="s">
        <v>356</v>
      </c>
      <c r="D21" s="360"/>
      <c r="E21" s="361"/>
      <c r="F21" s="361"/>
      <c r="G21" s="361"/>
      <c r="H21" s="361"/>
      <c r="I21" s="361"/>
      <c r="J21" s="361"/>
      <c r="K21" s="361"/>
      <c r="L21" s="361"/>
      <c r="M21" s="361"/>
      <c r="N21" s="361"/>
      <c r="O21" s="361"/>
      <c r="P21" s="364">
        <f t="shared" si="1"/>
        <v>0</v>
      </c>
      <c r="Q21" s="357"/>
      <c r="R21" s="277" t="str">
        <f>IF(Q21="Tallinn",LOOKUP(Q21,'KHG eriheitetegurid'!$C$21,'KHG eriheitetegurid'!$D$21),IF(Q21="Tartu",LOOKUP(Q21,'KHG eriheitetegurid'!$C$30,'KHG eriheitetegurid'!$D$30),IF(Q21="Pärnu",LOOKUP(Q21,'KHG eriheitetegurid'!C39,'KHG eriheitetegurid'!D39),IF(OR(Q21="Muu",Q21=""),""))))</f>
        <v/>
      </c>
      <c r="S21" s="358"/>
    </row>
    <row r="22" spans="2:19" ht="16.5" thickBot="1" x14ac:dyDescent="0.3">
      <c r="B22" s="596"/>
      <c r="C22" s="48" t="s">
        <v>35</v>
      </c>
      <c r="D22" s="362" t="e">
        <f t="shared" ref="D22:O22" si="4">D21/c_2025</f>
        <v>#DIV/0!</v>
      </c>
      <c r="E22" s="362" t="e">
        <f t="shared" si="4"/>
        <v>#DIV/0!</v>
      </c>
      <c r="F22" s="362" t="e">
        <f t="shared" si="4"/>
        <v>#DIV/0!</v>
      </c>
      <c r="G22" s="362" t="e">
        <f t="shared" si="4"/>
        <v>#DIV/0!</v>
      </c>
      <c r="H22" s="362" t="e">
        <f t="shared" si="4"/>
        <v>#DIV/0!</v>
      </c>
      <c r="I22" s="362" t="e">
        <f t="shared" si="4"/>
        <v>#DIV/0!</v>
      </c>
      <c r="J22" s="362" t="e">
        <f t="shared" si="4"/>
        <v>#DIV/0!</v>
      </c>
      <c r="K22" s="362" t="e">
        <f t="shared" si="4"/>
        <v>#DIV/0!</v>
      </c>
      <c r="L22" s="362" t="e">
        <f t="shared" si="4"/>
        <v>#DIV/0!</v>
      </c>
      <c r="M22" s="362" t="e">
        <f t="shared" si="4"/>
        <v>#DIV/0!</v>
      </c>
      <c r="N22" s="362" t="e">
        <f t="shared" si="4"/>
        <v>#DIV/0!</v>
      </c>
      <c r="O22" s="362" t="e">
        <f t="shared" si="4"/>
        <v>#DIV/0!</v>
      </c>
      <c r="P22" s="365" t="e">
        <f t="shared" si="1"/>
        <v>#DIV/0!</v>
      </c>
      <c r="Q22" s="147"/>
      <c r="R22" s="149"/>
      <c r="S22" s="276"/>
    </row>
    <row r="23" spans="2:19" x14ac:dyDescent="0.25">
      <c r="B23" s="595">
        <f>ÜLDANDMED!G10</f>
        <v>2026</v>
      </c>
      <c r="C23" s="44" t="s">
        <v>356</v>
      </c>
      <c r="D23" s="360"/>
      <c r="E23" s="361"/>
      <c r="F23" s="361"/>
      <c r="G23" s="361"/>
      <c r="H23" s="361"/>
      <c r="I23" s="361"/>
      <c r="J23" s="361"/>
      <c r="K23" s="361"/>
      <c r="L23" s="361"/>
      <c r="M23" s="361"/>
      <c r="N23" s="361"/>
      <c r="O23" s="361"/>
      <c r="P23" s="364">
        <f t="shared" si="1"/>
        <v>0</v>
      </c>
      <c r="Q23" s="357"/>
      <c r="R23" s="277" t="str">
        <f>IF(Q23="Tallinn",LOOKUP(Q23,'KHG eriheitetegurid'!$C$22,'KHG eriheitetegurid'!$D$22),IF(Q23="Tartu",LOOKUP(Q23,'KHG eriheitetegurid'!$C$31,'KHG eriheitetegurid'!$D$31),IF(Q23="Pärnu",LOOKUP(Q23,'KHG eriheitetegurid'!C40,'KHG eriheitetegurid'!D40),IF(OR(Q23="Muu",Q23=""),""))))</f>
        <v/>
      </c>
      <c r="S23" s="359"/>
    </row>
    <row r="24" spans="2:19" ht="16.5" thickBot="1" x14ac:dyDescent="0.3">
      <c r="B24" s="596"/>
      <c r="C24" s="48" t="s">
        <v>35</v>
      </c>
      <c r="D24" s="362" t="e">
        <f t="shared" ref="D24:O24" si="5">D23/c_2026</f>
        <v>#DIV/0!</v>
      </c>
      <c r="E24" s="362" t="e">
        <f t="shared" si="5"/>
        <v>#DIV/0!</v>
      </c>
      <c r="F24" s="362" t="e">
        <f t="shared" si="5"/>
        <v>#DIV/0!</v>
      </c>
      <c r="G24" s="362" t="e">
        <f t="shared" si="5"/>
        <v>#DIV/0!</v>
      </c>
      <c r="H24" s="362" t="e">
        <f t="shared" si="5"/>
        <v>#DIV/0!</v>
      </c>
      <c r="I24" s="362" t="e">
        <f t="shared" si="5"/>
        <v>#DIV/0!</v>
      </c>
      <c r="J24" s="362" t="e">
        <f t="shared" si="5"/>
        <v>#DIV/0!</v>
      </c>
      <c r="K24" s="362" t="e">
        <f t="shared" si="5"/>
        <v>#DIV/0!</v>
      </c>
      <c r="L24" s="362" t="e">
        <f t="shared" si="5"/>
        <v>#DIV/0!</v>
      </c>
      <c r="M24" s="362" t="e">
        <f t="shared" si="5"/>
        <v>#DIV/0!</v>
      </c>
      <c r="N24" s="362" t="e">
        <f t="shared" si="5"/>
        <v>#DIV/0!</v>
      </c>
      <c r="O24" s="362" t="e">
        <f t="shared" si="5"/>
        <v>#DIV/0!</v>
      </c>
      <c r="P24" s="365" t="e">
        <f t="shared" si="1"/>
        <v>#DIV/0!</v>
      </c>
      <c r="Q24" s="147"/>
      <c r="R24" s="149"/>
      <c r="S24" s="276"/>
    </row>
    <row r="25" spans="2:19" x14ac:dyDescent="0.25">
      <c r="B25" s="595">
        <f>ÜLDANDMED!H10</f>
        <v>2027</v>
      </c>
      <c r="C25" s="44" t="s">
        <v>356</v>
      </c>
      <c r="D25" s="360"/>
      <c r="E25" s="361"/>
      <c r="F25" s="361"/>
      <c r="G25" s="361"/>
      <c r="H25" s="361"/>
      <c r="I25" s="361"/>
      <c r="J25" s="361"/>
      <c r="K25" s="361"/>
      <c r="L25" s="361"/>
      <c r="M25" s="361"/>
      <c r="N25" s="361"/>
      <c r="O25" s="361"/>
      <c r="P25" s="364">
        <f t="shared" si="1"/>
        <v>0</v>
      </c>
      <c r="Q25" s="357"/>
      <c r="R25" s="277" t="str">
        <f>IF(Q25="Tallinn",LOOKUP(Q25,'KHG eriheitetegurid'!$C$23,'KHG eriheitetegurid'!$D$23),IF(Q25="Tartu",LOOKUP(Q25,'KHG eriheitetegurid'!$C$32,'KHG eriheitetegurid'!$D$32),IF(Q25="Pärnu",LOOKUP(Q25,'KHG eriheitetegurid'!C41,'KHG eriheitetegurid'!D41),IF(OR(Q25="Muu",Q25=""),""))))</f>
        <v/>
      </c>
      <c r="S25" s="358"/>
    </row>
    <row r="26" spans="2:19" ht="16.5" thickBot="1" x14ac:dyDescent="0.3">
      <c r="B26" s="596"/>
      <c r="C26" s="48" t="s">
        <v>35</v>
      </c>
      <c r="D26" s="362" t="e">
        <f t="shared" ref="D26:O26" si="6">D25/c_2027</f>
        <v>#DIV/0!</v>
      </c>
      <c r="E26" s="362" t="e">
        <f t="shared" si="6"/>
        <v>#DIV/0!</v>
      </c>
      <c r="F26" s="362" t="e">
        <f t="shared" si="6"/>
        <v>#DIV/0!</v>
      </c>
      <c r="G26" s="362" t="e">
        <f t="shared" si="6"/>
        <v>#DIV/0!</v>
      </c>
      <c r="H26" s="362" t="e">
        <f t="shared" si="6"/>
        <v>#DIV/0!</v>
      </c>
      <c r="I26" s="362" t="e">
        <f t="shared" si="6"/>
        <v>#DIV/0!</v>
      </c>
      <c r="J26" s="362" t="e">
        <f t="shared" si="6"/>
        <v>#DIV/0!</v>
      </c>
      <c r="K26" s="362" t="e">
        <f t="shared" si="6"/>
        <v>#DIV/0!</v>
      </c>
      <c r="L26" s="362" t="e">
        <f t="shared" si="6"/>
        <v>#DIV/0!</v>
      </c>
      <c r="M26" s="362" t="e">
        <f t="shared" si="6"/>
        <v>#DIV/0!</v>
      </c>
      <c r="N26" s="362" t="e">
        <f t="shared" si="6"/>
        <v>#DIV/0!</v>
      </c>
      <c r="O26" s="362" t="e">
        <f t="shared" si="6"/>
        <v>#DIV/0!</v>
      </c>
      <c r="P26" s="365" t="e">
        <f t="shared" si="1"/>
        <v>#DIV/0!</v>
      </c>
      <c r="Q26" s="147"/>
      <c r="R26" s="149"/>
      <c r="S26" s="276"/>
    </row>
    <row r="27" spans="2:19" x14ac:dyDescent="0.25">
      <c r="B27" s="595">
        <f>ÜLDANDMED!I10</f>
        <v>2028</v>
      </c>
      <c r="C27" s="44" t="s">
        <v>356</v>
      </c>
      <c r="D27" s="360"/>
      <c r="E27" s="361"/>
      <c r="F27" s="361"/>
      <c r="G27" s="361"/>
      <c r="H27" s="361"/>
      <c r="I27" s="361"/>
      <c r="J27" s="361"/>
      <c r="K27" s="361"/>
      <c r="L27" s="361"/>
      <c r="M27" s="361"/>
      <c r="N27" s="361"/>
      <c r="O27" s="361"/>
      <c r="P27" s="366">
        <f t="shared" ref="P27:P28" si="7">SUM(D27:O27)</f>
        <v>0</v>
      </c>
      <c r="Q27" s="357"/>
      <c r="R27" s="277"/>
      <c r="S27" s="359"/>
    </row>
    <row r="28" spans="2:19" ht="16.5" thickBot="1" x14ac:dyDescent="0.3">
      <c r="B28" s="596"/>
      <c r="C28" s="48" t="s">
        <v>35</v>
      </c>
      <c r="D28" s="362" t="e">
        <f t="shared" ref="D28:O28" si="8">D27/c_2028</f>
        <v>#DIV/0!</v>
      </c>
      <c r="E28" s="362" t="e">
        <f t="shared" si="8"/>
        <v>#DIV/0!</v>
      </c>
      <c r="F28" s="362" t="e">
        <f t="shared" si="8"/>
        <v>#DIV/0!</v>
      </c>
      <c r="G28" s="362" t="e">
        <f t="shared" si="8"/>
        <v>#DIV/0!</v>
      </c>
      <c r="H28" s="362" t="e">
        <f t="shared" si="8"/>
        <v>#DIV/0!</v>
      </c>
      <c r="I28" s="362" t="e">
        <f t="shared" si="8"/>
        <v>#DIV/0!</v>
      </c>
      <c r="J28" s="362" t="e">
        <f t="shared" si="8"/>
        <v>#DIV/0!</v>
      </c>
      <c r="K28" s="362" t="e">
        <f t="shared" si="8"/>
        <v>#DIV/0!</v>
      </c>
      <c r="L28" s="362" t="e">
        <f t="shared" si="8"/>
        <v>#DIV/0!</v>
      </c>
      <c r="M28" s="362" t="e">
        <f t="shared" si="8"/>
        <v>#DIV/0!</v>
      </c>
      <c r="N28" s="362" t="e">
        <f t="shared" si="8"/>
        <v>#DIV/0!</v>
      </c>
      <c r="O28" s="362" t="e">
        <f t="shared" si="8"/>
        <v>#DIV/0!</v>
      </c>
      <c r="P28" s="365" t="e">
        <f t="shared" si="7"/>
        <v>#DIV/0!</v>
      </c>
      <c r="Q28" s="147"/>
      <c r="R28" s="149"/>
      <c r="S28" s="276"/>
    </row>
    <row r="31" spans="2:19" x14ac:dyDescent="0.25">
      <c r="N31"/>
      <c r="O31"/>
      <c r="P31"/>
    </row>
    <row r="32" spans="2:19" x14ac:dyDescent="0.25">
      <c r="N32"/>
      <c r="O32"/>
      <c r="P32"/>
      <c r="Q32"/>
    </row>
    <row r="33" spans="14:17" x14ac:dyDescent="0.25">
      <c r="N33"/>
      <c r="O33"/>
      <c r="P33"/>
      <c r="Q33"/>
    </row>
    <row r="34" spans="14:17" x14ac:dyDescent="0.25">
      <c r="N34"/>
      <c r="O34"/>
      <c r="P34"/>
      <c r="Q34"/>
    </row>
    <row r="35" spans="14:17" x14ac:dyDescent="0.25">
      <c r="N35"/>
      <c r="O35"/>
      <c r="P35"/>
      <c r="Q35"/>
    </row>
    <row r="36" spans="14:17" x14ac:dyDescent="0.25">
      <c r="N36"/>
      <c r="O36"/>
      <c r="P36"/>
      <c r="Q36"/>
    </row>
    <row r="37" spans="14:17" x14ac:dyDescent="0.25">
      <c r="N37"/>
      <c r="O37"/>
      <c r="P37"/>
      <c r="Q37"/>
    </row>
    <row r="38" spans="14:17" x14ac:dyDescent="0.25">
      <c r="N38"/>
      <c r="O38" s="279"/>
      <c r="P38"/>
      <c r="Q38"/>
    </row>
    <row r="39" spans="14:17" x14ac:dyDescent="0.25">
      <c r="N39"/>
      <c r="O39"/>
      <c r="P39"/>
      <c r="Q39"/>
    </row>
    <row r="40" spans="14:17" x14ac:dyDescent="0.25">
      <c r="N40"/>
      <c r="O40"/>
      <c r="P40"/>
      <c r="Q40"/>
    </row>
    <row r="41" spans="14:17" x14ac:dyDescent="0.25">
      <c r="N41"/>
      <c r="O41"/>
      <c r="P41"/>
      <c r="Q41"/>
    </row>
    <row r="42" spans="14:17" x14ac:dyDescent="0.25">
      <c r="N42"/>
      <c r="O42"/>
      <c r="P42"/>
      <c r="Q42"/>
    </row>
    <row r="43" spans="14:17" x14ac:dyDescent="0.25">
      <c r="N43"/>
      <c r="O43"/>
      <c r="P43"/>
      <c r="Q43"/>
    </row>
    <row r="44" spans="14:17" x14ac:dyDescent="0.25">
      <c r="N44"/>
      <c r="O44"/>
      <c r="P44"/>
      <c r="Q44"/>
    </row>
    <row r="45" spans="14:17" x14ac:dyDescent="0.25">
      <c r="N45"/>
      <c r="O45"/>
      <c r="P45"/>
    </row>
    <row r="46" spans="14:17" x14ac:dyDescent="0.25">
      <c r="N46"/>
      <c r="O46"/>
      <c r="P46"/>
    </row>
    <row r="47" spans="14:17" x14ac:dyDescent="0.25">
      <c r="N47"/>
      <c r="O47"/>
      <c r="P47"/>
    </row>
    <row r="48" spans="14:17" x14ac:dyDescent="0.25">
      <c r="N48"/>
      <c r="O48"/>
      <c r="P48"/>
    </row>
    <row r="49" spans="14:16" x14ac:dyDescent="0.25">
      <c r="N49"/>
      <c r="O49"/>
      <c r="P49"/>
    </row>
    <row r="50" spans="14:16" x14ac:dyDescent="0.25">
      <c r="O50" s="63"/>
      <c r="P50"/>
    </row>
    <row r="51" spans="14:16" x14ac:dyDescent="0.25">
      <c r="O51" s="63"/>
      <c r="P51"/>
    </row>
    <row r="52" spans="14:16" x14ac:dyDescent="0.25">
      <c r="O52" s="63"/>
      <c r="P52"/>
    </row>
    <row r="53" spans="14:16" x14ac:dyDescent="0.25">
      <c r="O53" s="63"/>
      <c r="P53"/>
    </row>
    <row r="54" spans="14:16" x14ac:dyDescent="0.25">
      <c r="O54" s="63"/>
      <c r="P54"/>
    </row>
    <row r="55" spans="14:16" x14ac:dyDescent="0.25">
      <c r="O55" s="63"/>
      <c r="P55"/>
    </row>
  </sheetData>
  <mergeCells count="28">
    <mergeCell ref="R11:R14"/>
    <mergeCell ref="B3:P3"/>
    <mergeCell ref="B5:C5"/>
    <mergeCell ref="Q10:S10"/>
    <mergeCell ref="B25:B26"/>
    <mergeCell ref="Q11:Q14"/>
    <mergeCell ref="S11:S14"/>
    <mergeCell ref="D11:D14"/>
    <mergeCell ref="E11:E14"/>
    <mergeCell ref="B15:B16"/>
    <mergeCell ref="P11:P14"/>
    <mergeCell ref="C11:C14"/>
    <mergeCell ref="B27:B28"/>
    <mergeCell ref="O11:O14"/>
    <mergeCell ref="M11:M14"/>
    <mergeCell ref="L11:L14"/>
    <mergeCell ref="K11:K14"/>
    <mergeCell ref="J11:J14"/>
    <mergeCell ref="I11:I14"/>
    <mergeCell ref="H11:H14"/>
    <mergeCell ref="G11:G14"/>
    <mergeCell ref="N11:N14"/>
    <mergeCell ref="F11:F14"/>
    <mergeCell ref="B11:B14"/>
    <mergeCell ref="B23:B24"/>
    <mergeCell ref="B17:B18"/>
    <mergeCell ref="B19:B20"/>
    <mergeCell ref="B21:B22"/>
  </mergeCells>
  <conditionalFormatting sqref="R15:R28">
    <cfRule type="expression" dxfId="1" priority="4">
      <formula>$Q15="Muu"</formula>
    </cfRule>
    <cfRule type="expression" dxfId="0" priority="5">
      <formula>OR($Q15="Tallinn",$Q15="Tartu",$Q15="Pärnu")</formula>
    </cfRule>
  </conditionalFormatting>
  <dataValidations count="1">
    <dataValidation type="list" allowBlank="1" showInputMessage="1" showErrorMessage="1" sqref="N36 N38 N40 N42 N44 N46 N48" xr:uid="{C41EDBC2-358B-4803-A2E7-32F6802E647F}">
      <formula1>$N$53:$N$55</formula1>
    </dataValidation>
  </dataValidations>
  <pageMargins left="0.70866141732283472" right="0.70866141732283472" top="0.74803149606299213" bottom="0.74803149606299213" header="0.31496062992125984" footer="0.31496062992125984"/>
  <pageSetup paperSize="9" scale="38" fitToHeight="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F89D48D-A95C-48A8-8C5F-29E61727DC94}">
          <x14:formula1>
            <xm:f>'KHG eriheitetegurid'!$B$389:$B$393</xm:f>
          </x14:formula1>
          <xm:sqref>S15 P48 P46 S21 S19 S25 S17 S23 S27</xm:sqref>
        </x14:dataValidation>
        <x14:dataValidation type="list" allowBlank="1" showInputMessage="1" showErrorMessage="1" xr:uid="{08618C39-11C9-4598-8057-245E205969CF}">
          <x14:formula1>
            <xm:f>'KHG eriheitetegurid'!$B$383:$B$386</xm:f>
          </x14:formula1>
          <xm:sqref>Q15 Q27 Q25 Q23 Q21 Q19 Q17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CBA12"/>
    <pageSetUpPr fitToPage="1"/>
  </sheetPr>
  <dimension ref="A1:R25"/>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ColWidth="9.28515625" defaultRowHeight="14.65" customHeight="1" x14ac:dyDescent="0.25"/>
  <cols>
    <col min="1" max="1" width="2.5703125" customWidth="1"/>
    <col min="2" max="2" width="7.5703125" customWidth="1"/>
    <col min="3" max="3" width="38.7109375" customWidth="1"/>
    <col min="4" max="15" width="10.7109375" style="11" customWidth="1"/>
    <col min="16" max="16" width="15.7109375" style="3" customWidth="1"/>
    <col min="18" max="18" width="13.7109375" customWidth="1"/>
  </cols>
  <sheetData>
    <row r="1" spans="1:18" ht="18.600000000000001" customHeight="1" x14ac:dyDescent="0.3">
      <c r="B1" s="32" t="s">
        <v>36</v>
      </c>
      <c r="C1" s="100"/>
      <c r="F1" s="29"/>
    </row>
    <row r="2" spans="1:18" ht="14.65" customHeight="1" x14ac:dyDescent="0.25">
      <c r="A2" s="1"/>
      <c r="B2" s="1"/>
      <c r="C2" s="100"/>
      <c r="F2" s="29"/>
      <c r="R2" s="4"/>
    </row>
    <row r="3" spans="1:18" ht="110.65" customHeight="1" x14ac:dyDescent="0.25">
      <c r="A3" s="1"/>
      <c r="B3" s="570" t="s">
        <v>380</v>
      </c>
      <c r="C3" s="579"/>
      <c r="D3" s="579"/>
      <c r="E3" s="579"/>
      <c r="F3" s="579"/>
      <c r="G3" s="579"/>
      <c r="H3" s="579"/>
      <c r="I3" s="579"/>
      <c r="J3" s="579"/>
      <c r="K3" s="579"/>
      <c r="L3" s="579"/>
      <c r="M3" s="579"/>
      <c r="N3" s="579"/>
      <c r="O3" s="579"/>
      <c r="P3" s="580"/>
      <c r="R3" s="4"/>
    </row>
    <row r="4" spans="1:18" ht="14.65" customHeight="1" x14ac:dyDescent="0.25">
      <c r="A4" s="1"/>
      <c r="B4" s="37"/>
      <c r="C4" s="37"/>
      <c r="D4" s="37"/>
      <c r="E4" s="37"/>
      <c r="F4" s="37"/>
      <c r="G4" s="37"/>
      <c r="H4" s="37"/>
      <c r="R4" s="4"/>
    </row>
    <row r="5" spans="1:18" ht="14.65" customHeight="1" x14ac:dyDescent="0.25">
      <c r="A5" s="1"/>
      <c r="B5" s="589" t="s">
        <v>2</v>
      </c>
      <c r="C5" s="622"/>
      <c r="D5" s="34"/>
      <c r="E5" s="34"/>
      <c r="F5" s="34"/>
      <c r="R5" s="4"/>
    </row>
    <row r="6" spans="1:18" ht="14.65" customHeight="1" x14ac:dyDescent="0.25">
      <c r="A6" s="1"/>
      <c r="B6" s="118"/>
      <c r="C6" s="135" t="s">
        <v>37</v>
      </c>
      <c r="D6" s="34"/>
      <c r="E6" s="34"/>
      <c r="R6" s="4"/>
    </row>
    <row r="7" spans="1:18" ht="14.65" customHeight="1" x14ac:dyDescent="0.25">
      <c r="A7" s="1"/>
      <c r="C7" s="355" t="s">
        <v>4</v>
      </c>
      <c r="D7" s="34"/>
      <c r="E7" s="34"/>
      <c r="F7" s="34"/>
      <c r="P7"/>
      <c r="R7" s="4"/>
    </row>
    <row r="8" spans="1:18" s="19" customFormat="1" ht="14.65" customHeight="1" x14ac:dyDescent="0.25">
      <c r="C8" s="150" t="s">
        <v>7</v>
      </c>
      <c r="F8" s="20"/>
      <c r="G8" s="20"/>
      <c r="H8" s="20"/>
      <c r="I8" s="20"/>
      <c r="J8" s="20"/>
      <c r="K8" s="20"/>
      <c r="L8" s="20"/>
      <c r="M8" s="20"/>
      <c r="N8" s="20"/>
      <c r="O8" s="51"/>
      <c r="P8" s="52"/>
      <c r="Q8"/>
      <c r="R8"/>
    </row>
    <row r="9" spans="1:18" ht="14.65" customHeight="1" thickBot="1" x14ac:dyDescent="0.35">
      <c r="A9" s="7"/>
      <c r="B9" s="7"/>
      <c r="C9" s="7"/>
      <c r="D9" s="12"/>
      <c r="F9" s="53"/>
      <c r="G9" s="54"/>
      <c r="R9" s="25"/>
    </row>
    <row r="10" spans="1:18" ht="14.65" customHeight="1" x14ac:dyDescent="0.25">
      <c r="A10" s="7"/>
      <c r="B10" s="626" t="s">
        <v>9</v>
      </c>
      <c r="C10" s="583" t="s">
        <v>10</v>
      </c>
      <c r="D10" s="627" t="s">
        <v>11</v>
      </c>
      <c r="E10" s="600" t="s">
        <v>12</v>
      </c>
      <c r="F10" s="600" t="s">
        <v>13</v>
      </c>
      <c r="G10" s="600" t="s">
        <v>14</v>
      </c>
      <c r="H10" s="600" t="s">
        <v>15</v>
      </c>
      <c r="I10" s="600" t="s">
        <v>16</v>
      </c>
      <c r="J10" s="600" t="s">
        <v>17</v>
      </c>
      <c r="K10" s="600" t="s">
        <v>18</v>
      </c>
      <c r="L10" s="600" t="s">
        <v>19</v>
      </c>
      <c r="M10" s="600" t="s">
        <v>20</v>
      </c>
      <c r="N10" s="600" t="s">
        <v>21</v>
      </c>
      <c r="O10" s="597" t="s">
        <v>22</v>
      </c>
      <c r="P10" s="623" t="s">
        <v>23</v>
      </c>
    </row>
    <row r="11" spans="1:18" ht="14.65" customHeight="1" thickBot="1" x14ac:dyDescent="0.3">
      <c r="A11" s="8"/>
      <c r="B11" s="590"/>
      <c r="C11" s="625"/>
      <c r="D11" s="628"/>
      <c r="E11" s="602"/>
      <c r="F11" s="602"/>
      <c r="G11" s="602"/>
      <c r="H11" s="602"/>
      <c r="I11" s="602"/>
      <c r="J11" s="602"/>
      <c r="K11" s="602"/>
      <c r="L11" s="602"/>
      <c r="M11" s="602"/>
      <c r="N11" s="602"/>
      <c r="O11" s="599"/>
      <c r="P11" s="624"/>
    </row>
    <row r="12" spans="1:18" ht="14.65" customHeight="1" x14ac:dyDescent="0.25">
      <c r="B12" s="258">
        <f>ÜLDANDMED!C10</f>
        <v>2022</v>
      </c>
      <c r="C12" s="262" t="s">
        <v>366</v>
      </c>
      <c r="D12" s="368"/>
      <c r="E12" s="368"/>
      <c r="F12" s="368"/>
      <c r="G12" s="368"/>
      <c r="H12" s="368"/>
      <c r="I12" s="368"/>
      <c r="J12" s="368"/>
      <c r="K12" s="368"/>
      <c r="L12" s="368"/>
      <c r="M12" s="368"/>
      <c r="N12" s="368"/>
      <c r="O12" s="368"/>
      <c r="P12" s="370">
        <f>SUM(D12:O12)</f>
        <v>0</v>
      </c>
      <c r="R12" s="49"/>
    </row>
    <row r="13" spans="1:18" ht="14.65" customHeight="1" thickBot="1" x14ac:dyDescent="0.3">
      <c r="B13" s="259"/>
      <c r="C13" s="265" t="s">
        <v>365</v>
      </c>
      <c r="D13" s="508"/>
      <c r="E13" s="508"/>
      <c r="F13" s="508"/>
      <c r="G13" s="508"/>
      <c r="H13" s="508"/>
      <c r="I13" s="508"/>
      <c r="J13" s="508"/>
      <c r="K13" s="508"/>
      <c r="L13" s="508"/>
      <c r="M13" s="508"/>
      <c r="N13" s="508"/>
      <c r="O13" s="508"/>
      <c r="P13" s="371" t="e">
        <f>P12/b_2022</f>
        <v>#DIV/0!</v>
      </c>
    </row>
    <row r="14" spans="1:18" ht="14.65" customHeight="1" x14ac:dyDescent="0.25">
      <c r="B14" s="258">
        <f>ÜLDANDMED!D10</f>
        <v>2023</v>
      </c>
      <c r="C14" s="262" t="s">
        <v>366</v>
      </c>
      <c r="D14" s="368"/>
      <c r="E14" s="368"/>
      <c r="F14" s="368"/>
      <c r="G14" s="368"/>
      <c r="H14" s="368"/>
      <c r="I14" s="368"/>
      <c r="J14" s="368"/>
      <c r="K14" s="368"/>
      <c r="L14" s="368"/>
      <c r="M14" s="368"/>
      <c r="N14" s="368"/>
      <c r="O14" s="368"/>
      <c r="P14" s="370">
        <f t="shared" ref="P14:P24" si="0">SUM(D14:O14)</f>
        <v>0</v>
      </c>
      <c r="R14" s="49"/>
    </row>
    <row r="15" spans="1:18" ht="14.65" customHeight="1" thickBot="1" x14ac:dyDescent="0.3">
      <c r="B15" s="259"/>
      <c r="C15" s="265" t="s">
        <v>365</v>
      </c>
      <c r="D15" s="509"/>
      <c r="E15" s="509"/>
      <c r="F15" s="509"/>
      <c r="G15" s="509"/>
      <c r="H15" s="509"/>
      <c r="I15" s="509"/>
      <c r="J15" s="509"/>
      <c r="K15" s="509"/>
      <c r="L15" s="509"/>
      <c r="M15" s="509"/>
      <c r="N15" s="509"/>
      <c r="O15" s="509"/>
      <c r="P15" s="372" t="e">
        <f>P14/b_2023</f>
        <v>#DIV/0!</v>
      </c>
    </row>
    <row r="16" spans="1:18" ht="14.65" customHeight="1" x14ac:dyDescent="0.25">
      <c r="B16" s="258">
        <f>ÜLDANDMED!E10</f>
        <v>2024</v>
      </c>
      <c r="C16" s="262" t="s">
        <v>366</v>
      </c>
      <c r="D16" s="368"/>
      <c r="E16" s="368"/>
      <c r="F16" s="368"/>
      <c r="G16" s="368"/>
      <c r="H16" s="368"/>
      <c r="I16" s="368"/>
      <c r="J16" s="368"/>
      <c r="K16" s="368"/>
      <c r="L16" s="368"/>
      <c r="M16" s="368"/>
      <c r="N16" s="368"/>
      <c r="O16" s="368"/>
      <c r="P16" s="373">
        <f t="shared" si="0"/>
        <v>0</v>
      </c>
      <c r="R16" s="49"/>
    </row>
    <row r="17" spans="2:18" ht="14.65" customHeight="1" thickBot="1" x14ac:dyDescent="0.3">
      <c r="B17" s="259"/>
      <c r="C17" s="265" t="s">
        <v>365</v>
      </c>
      <c r="D17" s="508"/>
      <c r="E17" s="508"/>
      <c r="F17" s="508"/>
      <c r="G17" s="508"/>
      <c r="H17" s="508"/>
      <c r="I17" s="508"/>
      <c r="J17" s="508"/>
      <c r="K17" s="508"/>
      <c r="L17" s="508"/>
      <c r="M17" s="508"/>
      <c r="N17" s="508"/>
      <c r="O17" s="508"/>
      <c r="P17" s="371" t="e">
        <f>P16/b_2024</f>
        <v>#DIV/0!</v>
      </c>
    </row>
    <row r="18" spans="2:18" ht="14.65" customHeight="1" x14ac:dyDescent="0.25">
      <c r="B18" s="258">
        <f>ÜLDANDMED!F10</f>
        <v>2025</v>
      </c>
      <c r="C18" s="262" t="s">
        <v>366</v>
      </c>
      <c r="D18" s="368"/>
      <c r="E18" s="368"/>
      <c r="F18" s="368"/>
      <c r="G18" s="368"/>
      <c r="H18" s="368"/>
      <c r="I18" s="368"/>
      <c r="J18" s="368"/>
      <c r="K18" s="368"/>
      <c r="L18" s="368"/>
      <c r="M18" s="368"/>
      <c r="N18" s="368"/>
      <c r="O18" s="368"/>
      <c r="P18" s="370">
        <f t="shared" si="0"/>
        <v>0</v>
      </c>
      <c r="R18" s="49"/>
    </row>
    <row r="19" spans="2:18" ht="14.65" customHeight="1" thickBot="1" x14ac:dyDescent="0.3">
      <c r="B19" s="259"/>
      <c r="C19" s="265" t="s">
        <v>365</v>
      </c>
      <c r="D19" s="509"/>
      <c r="E19" s="509"/>
      <c r="F19" s="509"/>
      <c r="G19" s="509"/>
      <c r="H19" s="509"/>
      <c r="I19" s="509"/>
      <c r="J19" s="509"/>
      <c r="K19" s="509"/>
      <c r="L19" s="509"/>
      <c r="M19" s="509"/>
      <c r="N19" s="509"/>
      <c r="O19" s="509"/>
      <c r="P19" s="372" t="e">
        <f>P18/b_2025</f>
        <v>#DIV/0!</v>
      </c>
    </row>
    <row r="20" spans="2:18" ht="14.65" customHeight="1" x14ac:dyDescent="0.25">
      <c r="B20" s="258">
        <f>ÜLDANDMED!G10</f>
        <v>2026</v>
      </c>
      <c r="C20" s="262" t="s">
        <v>366</v>
      </c>
      <c r="D20" s="368"/>
      <c r="E20" s="368"/>
      <c r="F20" s="368"/>
      <c r="G20" s="368"/>
      <c r="H20" s="368"/>
      <c r="I20" s="368"/>
      <c r="J20" s="368"/>
      <c r="K20" s="368"/>
      <c r="L20" s="368"/>
      <c r="M20" s="368"/>
      <c r="N20" s="368"/>
      <c r="O20" s="368"/>
      <c r="P20" s="373">
        <f t="shared" si="0"/>
        <v>0</v>
      </c>
      <c r="R20" s="49"/>
    </row>
    <row r="21" spans="2:18" ht="14.65" customHeight="1" thickBot="1" x14ac:dyDescent="0.3">
      <c r="B21" s="259"/>
      <c r="C21" s="265" t="s">
        <v>365</v>
      </c>
      <c r="D21" s="508"/>
      <c r="E21" s="508"/>
      <c r="F21" s="508"/>
      <c r="G21" s="508"/>
      <c r="H21" s="508"/>
      <c r="I21" s="508"/>
      <c r="J21" s="508"/>
      <c r="K21" s="508"/>
      <c r="L21" s="508"/>
      <c r="M21" s="508"/>
      <c r="N21" s="508"/>
      <c r="O21" s="508"/>
      <c r="P21" s="371" t="e">
        <f>P20/b_2026</f>
        <v>#DIV/0!</v>
      </c>
    </row>
    <row r="22" spans="2:18" ht="14.65" customHeight="1" x14ac:dyDescent="0.25">
      <c r="B22" s="258">
        <f>ÜLDANDMED!H10</f>
        <v>2027</v>
      </c>
      <c r="C22" s="262" t="s">
        <v>366</v>
      </c>
      <c r="D22" s="368"/>
      <c r="E22" s="368"/>
      <c r="F22" s="368"/>
      <c r="G22" s="368"/>
      <c r="H22" s="368"/>
      <c r="I22" s="368"/>
      <c r="J22" s="368"/>
      <c r="K22" s="368"/>
      <c r="L22" s="368"/>
      <c r="M22" s="368"/>
      <c r="N22" s="368"/>
      <c r="O22" s="368"/>
      <c r="P22" s="370">
        <f t="shared" si="0"/>
        <v>0</v>
      </c>
      <c r="R22" s="49"/>
    </row>
    <row r="23" spans="2:18" ht="14.65" customHeight="1" thickBot="1" x14ac:dyDescent="0.3">
      <c r="B23" s="259"/>
      <c r="C23" s="265" t="s">
        <v>365</v>
      </c>
      <c r="D23" s="510"/>
      <c r="E23" s="510"/>
      <c r="F23" s="510"/>
      <c r="G23" s="510"/>
      <c r="H23" s="510"/>
      <c r="I23" s="510"/>
      <c r="J23" s="510"/>
      <c r="K23" s="510"/>
      <c r="L23" s="510"/>
      <c r="M23" s="510"/>
      <c r="N23" s="510"/>
      <c r="O23" s="510"/>
      <c r="P23" s="372" t="e">
        <f>P22/b_2027</f>
        <v>#DIV/0!</v>
      </c>
    </row>
    <row r="24" spans="2:18" ht="14.65" customHeight="1" x14ac:dyDescent="0.25">
      <c r="B24" s="258">
        <f>ÜLDANDMED!I10</f>
        <v>2028</v>
      </c>
      <c r="C24" s="262" t="s">
        <v>366</v>
      </c>
      <c r="D24" s="368"/>
      <c r="E24" s="368"/>
      <c r="F24" s="368"/>
      <c r="G24" s="368"/>
      <c r="H24" s="368"/>
      <c r="I24" s="368"/>
      <c r="J24" s="368"/>
      <c r="K24" s="368"/>
      <c r="L24" s="368"/>
      <c r="M24" s="368"/>
      <c r="N24" s="368"/>
      <c r="O24" s="368"/>
      <c r="P24" s="373">
        <f t="shared" si="0"/>
        <v>0</v>
      </c>
      <c r="R24" s="49"/>
    </row>
    <row r="25" spans="2:18" ht="14.65" customHeight="1" thickBot="1" x14ac:dyDescent="0.3">
      <c r="B25" s="260"/>
      <c r="C25" s="265" t="s">
        <v>365</v>
      </c>
      <c r="D25" s="508"/>
      <c r="E25" s="508"/>
      <c r="F25" s="508"/>
      <c r="G25" s="508"/>
      <c r="H25" s="508"/>
      <c r="I25" s="508"/>
      <c r="J25" s="508"/>
      <c r="K25" s="508"/>
      <c r="L25" s="508"/>
      <c r="M25" s="508"/>
      <c r="N25" s="508"/>
      <c r="O25" s="508"/>
      <c r="P25" s="372" t="e">
        <f>P24/b_2028</f>
        <v>#DIV/0!</v>
      </c>
    </row>
  </sheetData>
  <mergeCells count="17">
    <mergeCell ref="B3:P3"/>
    <mergeCell ref="B5:C5"/>
    <mergeCell ref="O10:O11"/>
    <mergeCell ref="P10:P11"/>
    <mergeCell ref="J10:J11"/>
    <mergeCell ref="K10:K11"/>
    <mergeCell ref="C10:C11"/>
    <mergeCell ref="B10:B11"/>
    <mergeCell ref="H10:H11"/>
    <mergeCell ref="D10:D11"/>
    <mergeCell ref="E10:E11"/>
    <mergeCell ref="F10:F11"/>
    <mergeCell ref="G10:G11"/>
    <mergeCell ref="L10:L11"/>
    <mergeCell ref="M10:M11"/>
    <mergeCell ref="I10:I11"/>
    <mergeCell ref="N10:N11"/>
  </mergeCells>
  <pageMargins left="0.70866141732283472" right="0.70866141732283472" top="0.74803149606299213" bottom="0.74803149606299213" header="0.31496062992125984" footer="0.31496062992125984"/>
  <pageSetup paperSize="9" scale="45" fitToHeight="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CBA12"/>
    <pageSetUpPr fitToPage="1"/>
  </sheetPr>
  <dimension ref="A1:P72"/>
  <sheetViews>
    <sheetView showGridLines="0" zoomScaleNormal="100" workbookViewId="0">
      <pane xSplit="1" ySplit="1" topLeftCell="B2" activePane="bottomRight" state="frozen"/>
      <selection pane="topRight" activeCell="B1" sqref="B1"/>
      <selection pane="bottomLeft" activeCell="A3" sqref="A3"/>
      <selection pane="bottomRight" activeCell="H22" sqref="H22"/>
    </sheetView>
  </sheetViews>
  <sheetFormatPr defaultRowHeight="15" customHeight="1" x14ac:dyDescent="0.25"/>
  <cols>
    <col min="1" max="1" width="2.5703125" customWidth="1"/>
    <col min="2" max="2" width="7.5703125" customWidth="1"/>
    <col min="3" max="3" width="43.28515625" customWidth="1"/>
    <col min="4" max="4" width="15.7109375" style="3" customWidth="1"/>
  </cols>
  <sheetData>
    <row r="1" spans="1:16" ht="15" customHeight="1" x14ac:dyDescent="0.3">
      <c r="A1" s="23"/>
      <c r="B1" s="32" t="s">
        <v>38</v>
      </c>
    </row>
    <row r="2" spans="1:16" ht="15" customHeight="1" x14ac:dyDescent="0.35">
      <c r="A2" s="23"/>
      <c r="B2" s="31"/>
    </row>
    <row r="3" spans="1:16" s="537" customFormat="1" ht="15" customHeight="1" x14ac:dyDescent="0.3">
      <c r="A3" s="533"/>
      <c r="B3" s="534" t="s">
        <v>492</v>
      </c>
      <c r="C3" s="535"/>
      <c r="D3" s="535"/>
      <c r="E3" s="535"/>
      <c r="F3" s="535"/>
      <c r="G3" s="535"/>
      <c r="H3" s="535"/>
      <c r="I3" s="535"/>
      <c r="J3" s="535"/>
      <c r="K3" s="535"/>
      <c r="L3" s="535"/>
      <c r="M3" s="536"/>
    </row>
    <row r="4" spans="1:16" s="537" customFormat="1" ht="44.45" customHeight="1" x14ac:dyDescent="0.3">
      <c r="A4" s="533"/>
      <c r="B4" s="629" t="s">
        <v>493</v>
      </c>
      <c r="C4" s="630"/>
      <c r="D4" s="630"/>
      <c r="E4" s="630"/>
      <c r="F4" s="630"/>
      <c r="G4" s="630"/>
      <c r="H4" s="630"/>
      <c r="I4" s="630"/>
      <c r="J4" s="630"/>
      <c r="K4" s="630"/>
      <c r="L4" s="630"/>
      <c r="M4" s="631"/>
      <c r="N4" s="538"/>
      <c r="O4" s="538"/>
      <c r="P4" s="538"/>
    </row>
    <row r="5" spans="1:16" s="537" customFormat="1" ht="15" customHeight="1" x14ac:dyDescent="0.3">
      <c r="A5" s="533"/>
      <c r="B5" s="167"/>
      <c r="C5" s="524" t="s">
        <v>494</v>
      </c>
      <c r="D5" s="524">
        <v>500</v>
      </c>
      <c r="E5" s="523" t="s">
        <v>39</v>
      </c>
      <c r="F5"/>
      <c r="G5" s="169"/>
      <c r="H5" s="169"/>
      <c r="I5" s="169"/>
      <c r="J5"/>
      <c r="K5"/>
      <c r="L5"/>
      <c r="M5" s="118"/>
    </row>
    <row r="6" spans="1:16" s="537" customFormat="1" ht="15" customHeight="1" x14ac:dyDescent="0.3">
      <c r="A6" s="533"/>
      <c r="B6" s="167"/>
      <c r="C6" s="168" t="s">
        <v>40</v>
      </c>
      <c r="D6" s="168">
        <f>'KHG eriheitetegurid'!D377</f>
        <v>5</v>
      </c>
      <c r="E6" s="166" t="s">
        <v>41</v>
      </c>
      <c r="F6"/>
      <c r="G6" s="169"/>
      <c r="H6" s="169"/>
      <c r="I6" s="169"/>
      <c r="J6"/>
      <c r="K6"/>
      <c r="L6"/>
      <c r="M6" s="118"/>
    </row>
    <row r="7" spans="1:16" s="537" customFormat="1" ht="15" customHeight="1" x14ac:dyDescent="0.3">
      <c r="A7" s="533"/>
      <c r="B7" s="167"/>
      <c r="C7" s="168" t="s">
        <v>495</v>
      </c>
      <c r="D7" s="539">
        <f>'KHG eriheitetegurid'!D378</f>
        <v>2.7315789473684209</v>
      </c>
      <c r="E7" s="166" t="s">
        <v>41</v>
      </c>
      <c r="F7"/>
      <c r="G7" s="169"/>
      <c r="H7" s="169"/>
      <c r="I7" s="169"/>
      <c r="J7"/>
      <c r="K7"/>
      <c r="L7"/>
      <c r="M7" s="118"/>
    </row>
    <row r="8" spans="1:16" s="537" customFormat="1" ht="15" customHeight="1" x14ac:dyDescent="0.3">
      <c r="A8" s="533"/>
      <c r="B8" s="167"/>
      <c r="C8" s="168" t="s">
        <v>496</v>
      </c>
      <c r="D8" s="539">
        <f>'KHG eriheitetegurid'!D379</f>
        <v>3.8021979759645794</v>
      </c>
      <c r="E8" s="166" t="s">
        <v>41</v>
      </c>
      <c r="F8"/>
      <c r="G8" s="169"/>
      <c r="H8" s="169"/>
      <c r="I8" s="169"/>
      <c r="J8"/>
      <c r="K8"/>
      <c r="L8"/>
      <c r="M8" s="118"/>
    </row>
    <row r="9" spans="1:16" ht="15" customHeight="1" x14ac:dyDescent="0.3">
      <c r="A9" s="23"/>
      <c r="B9" s="632" t="s">
        <v>497</v>
      </c>
      <c r="C9" s="633"/>
      <c r="D9" s="633"/>
      <c r="E9" s="633"/>
      <c r="F9" s="633"/>
      <c r="G9" s="633"/>
      <c r="H9" s="633"/>
      <c r="I9" s="633"/>
      <c r="J9" s="517"/>
      <c r="K9" s="517"/>
      <c r="L9" s="517"/>
      <c r="M9" s="518"/>
    </row>
    <row r="10" spans="1:16" ht="15" customHeight="1" x14ac:dyDescent="0.3">
      <c r="A10" s="23"/>
      <c r="B10" s="35"/>
      <c r="C10" s="35"/>
      <c r="D10" s="72"/>
      <c r="E10" s="35"/>
      <c r="F10" s="35"/>
      <c r="G10" s="35"/>
    </row>
    <row r="11" spans="1:16" ht="15" customHeight="1" x14ac:dyDescent="0.25">
      <c r="B11" s="589" t="s">
        <v>2</v>
      </c>
      <c r="C11" s="589"/>
    </row>
    <row r="12" spans="1:16" ht="15" customHeight="1" x14ac:dyDescent="0.25">
      <c r="C12" s="377" t="s">
        <v>3</v>
      </c>
    </row>
    <row r="13" spans="1:16" ht="15" customHeight="1" x14ac:dyDescent="0.25">
      <c r="C13" s="355" t="s">
        <v>4</v>
      </c>
    </row>
    <row r="14" spans="1:16" ht="15" customHeight="1" thickBot="1" x14ac:dyDescent="0.3"/>
    <row r="15" spans="1:16" ht="15" customHeight="1" x14ac:dyDescent="0.25">
      <c r="B15" s="634" t="s">
        <v>9</v>
      </c>
      <c r="C15" s="619" t="s">
        <v>10</v>
      </c>
      <c r="D15" s="603" t="s">
        <v>23</v>
      </c>
    </row>
    <row r="16" spans="1:16" ht="15" customHeight="1" thickBot="1" x14ac:dyDescent="0.3">
      <c r="B16" s="635"/>
      <c r="C16" s="621"/>
      <c r="D16" s="604"/>
    </row>
    <row r="17" spans="2:6" ht="15" customHeight="1" x14ac:dyDescent="0.25">
      <c r="B17" s="543">
        <f>ÜLDANDMED!C10</f>
        <v>2022</v>
      </c>
      <c r="C17" s="250" t="s">
        <v>42</v>
      </c>
      <c r="D17" s="376"/>
    </row>
    <row r="18" spans="2:6" ht="15" customHeight="1" x14ac:dyDescent="0.25">
      <c r="B18" s="544"/>
      <c r="C18" s="251" t="s">
        <v>43</v>
      </c>
      <c r="D18" s="374">
        <f>D17*$D$5</f>
        <v>0</v>
      </c>
    </row>
    <row r="19" spans="2:6" ht="15" customHeight="1" x14ac:dyDescent="0.25">
      <c r="B19" s="544"/>
      <c r="C19" s="252" t="s">
        <v>44</v>
      </c>
      <c r="D19" s="374" t="e">
        <f>D18/a_2022</f>
        <v>#DIV/0!</v>
      </c>
    </row>
    <row r="20" spans="2:6" ht="15" customHeight="1" x14ac:dyDescent="0.25">
      <c r="B20" s="544"/>
      <c r="C20" s="253" t="s">
        <v>45</v>
      </c>
      <c r="D20" s="375">
        <f>D18*$D$6/1000</f>
        <v>0</v>
      </c>
      <c r="F20" s="93"/>
    </row>
    <row r="21" spans="2:6" ht="15" customHeight="1" x14ac:dyDescent="0.25">
      <c r="B21" s="544"/>
      <c r="C21" s="519" t="s">
        <v>498</v>
      </c>
      <c r="D21" s="532"/>
      <c r="F21" s="93"/>
    </row>
    <row r="22" spans="2:6" ht="15" customHeight="1" x14ac:dyDescent="0.25">
      <c r="B22" s="544"/>
      <c r="C22" s="540" t="s">
        <v>499</v>
      </c>
      <c r="D22" s="375">
        <f>D21*$D$7/1000</f>
        <v>0</v>
      </c>
      <c r="F22" s="93"/>
    </row>
    <row r="23" spans="2:6" ht="15" customHeight="1" x14ac:dyDescent="0.25">
      <c r="B23" s="544"/>
      <c r="C23" s="519" t="s">
        <v>445</v>
      </c>
      <c r="D23" s="532"/>
      <c r="F23" s="93"/>
    </row>
    <row r="24" spans="2:6" ht="15" customHeight="1" thickBot="1" x14ac:dyDescent="0.3">
      <c r="B24" s="527"/>
      <c r="C24" s="540" t="s">
        <v>500</v>
      </c>
      <c r="D24" s="375">
        <f>D23*$D$8/1000</f>
        <v>0</v>
      </c>
      <c r="F24" s="93"/>
    </row>
    <row r="25" spans="2:6" ht="15" customHeight="1" x14ac:dyDescent="0.25">
      <c r="B25" s="528">
        <f>ÜLDANDMED!D10</f>
        <v>2023</v>
      </c>
      <c r="C25" s="250" t="s">
        <v>42</v>
      </c>
      <c r="D25" s="376"/>
    </row>
    <row r="26" spans="2:6" ht="15" customHeight="1" x14ac:dyDescent="0.25">
      <c r="B26" s="528"/>
      <c r="C26" s="251" t="s">
        <v>43</v>
      </c>
      <c r="D26" s="374">
        <f>D25*$D$5</f>
        <v>0</v>
      </c>
    </row>
    <row r="27" spans="2:6" ht="15" customHeight="1" x14ac:dyDescent="0.25">
      <c r="B27" s="528"/>
      <c r="C27" s="252" t="s">
        <v>44</v>
      </c>
      <c r="D27" s="374" t="e">
        <f>D26/a_2023</f>
        <v>#DIV/0!</v>
      </c>
    </row>
    <row r="28" spans="2:6" ht="15" customHeight="1" x14ac:dyDescent="0.25">
      <c r="B28" s="528"/>
      <c r="C28" s="253" t="s">
        <v>45</v>
      </c>
      <c r="D28" s="375">
        <f>D26*$D$6/1000</f>
        <v>0</v>
      </c>
    </row>
    <row r="29" spans="2:6" ht="15" customHeight="1" x14ac:dyDescent="0.25">
      <c r="B29" s="528"/>
      <c r="C29" s="519" t="s">
        <v>498</v>
      </c>
      <c r="D29" s="532"/>
    </row>
    <row r="30" spans="2:6" ht="15" customHeight="1" x14ac:dyDescent="0.25">
      <c r="B30" s="528"/>
      <c r="C30" s="540" t="s">
        <v>499</v>
      </c>
      <c r="D30" s="375">
        <f>D29*$D$7/1000</f>
        <v>0</v>
      </c>
      <c r="F30" s="93"/>
    </row>
    <row r="31" spans="2:6" ht="15" customHeight="1" x14ac:dyDescent="0.25">
      <c r="B31" s="528"/>
      <c r="C31" s="519" t="s">
        <v>445</v>
      </c>
      <c r="D31" s="532"/>
    </row>
    <row r="32" spans="2:6" ht="15" customHeight="1" thickBot="1" x14ac:dyDescent="0.3">
      <c r="B32" s="527"/>
      <c r="C32" s="540" t="s">
        <v>500</v>
      </c>
      <c r="D32" s="375">
        <f>D31*$D$8/1000</f>
        <v>0</v>
      </c>
      <c r="F32" s="93"/>
    </row>
    <row r="33" spans="2:6" ht="15" customHeight="1" x14ac:dyDescent="0.25">
      <c r="B33" s="526">
        <f>ÜLDANDMED!E10</f>
        <v>2024</v>
      </c>
      <c r="C33" s="250" t="s">
        <v>42</v>
      </c>
      <c r="D33" s="376"/>
    </row>
    <row r="34" spans="2:6" ht="15" customHeight="1" x14ac:dyDescent="0.25">
      <c r="B34" s="528"/>
      <c r="C34" s="251" t="s">
        <v>43</v>
      </c>
      <c r="D34" s="374">
        <f>D33*$D$5</f>
        <v>0</v>
      </c>
    </row>
    <row r="35" spans="2:6" ht="15" customHeight="1" x14ac:dyDescent="0.25">
      <c r="B35" s="528"/>
      <c r="C35" s="252" t="s">
        <v>44</v>
      </c>
      <c r="D35" s="374" t="e">
        <f>D34/a_2024</f>
        <v>#DIV/0!</v>
      </c>
    </row>
    <row r="36" spans="2:6" ht="15" customHeight="1" x14ac:dyDescent="0.25">
      <c r="B36" s="528"/>
      <c r="C36" s="253" t="s">
        <v>45</v>
      </c>
      <c r="D36" s="375">
        <f>D34*$D$6/1000</f>
        <v>0</v>
      </c>
    </row>
    <row r="37" spans="2:6" ht="15" customHeight="1" x14ac:dyDescent="0.25">
      <c r="B37" s="528"/>
      <c r="C37" s="519" t="s">
        <v>498</v>
      </c>
      <c r="D37" s="532"/>
    </row>
    <row r="38" spans="2:6" ht="15" customHeight="1" x14ac:dyDescent="0.25">
      <c r="B38" s="528"/>
      <c r="C38" s="540" t="s">
        <v>499</v>
      </c>
      <c r="D38" s="375">
        <f>D37*$D$7/1000</f>
        <v>0</v>
      </c>
      <c r="F38" s="93"/>
    </row>
    <row r="39" spans="2:6" ht="15" customHeight="1" x14ac:dyDescent="0.25">
      <c r="B39" s="528"/>
      <c r="C39" s="519" t="s">
        <v>445</v>
      </c>
      <c r="D39" s="532"/>
    </row>
    <row r="40" spans="2:6" ht="15" customHeight="1" thickBot="1" x14ac:dyDescent="0.3">
      <c r="B40" s="527"/>
      <c r="C40" s="540" t="s">
        <v>500</v>
      </c>
      <c r="D40" s="375">
        <f>D39*$D$8/1000</f>
        <v>0</v>
      </c>
      <c r="F40" s="93"/>
    </row>
    <row r="41" spans="2:6" ht="15" customHeight="1" x14ac:dyDescent="0.25">
      <c r="B41" s="526">
        <f>ÜLDANDMED!F10</f>
        <v>2025</v>
      </c>
      <c r="C41" s="250" t="s">
        <v>42</v>
      </c>
      <c r="D41" s="376"/>
    </row>
    <row r="42" spans="2:6" ht="15" customHeight="1" x14ac:dyDescent="0.25">
      <c r="B42" s="528"/>
      <c r="C42" s="251" t="s">
        <v>43</v>
      </c>
      <c r="D42" s="374">
        <f>D41*$D$5</f>
        <v>0</v>
      </c>
    </row>
    <row r="43" spans="2:6" ht="15" customHeight="1" x14ac:dyDescent="0.25">
      <c r="B43" s="528"/>
      <c r="C43" s="252" t="s">
        <v>44</v>
      </c>
      <c r="D43" s="374" t="e">
        <f>D42/a_2025</f>
        <v>#DIV/0!</v>
      </c>
    </row>
    <row r="44" spans="2:6" ht="15" customHeight="1" x14ac:dyDescent="0.25">
      <c r="B44" s="528"/>
      <c r="C44" s="253" t="s">
        <v>45</v>
      </c>
      <c r="D44" s="375">
        <f>D42*$D$6/1000</f>
        <v>0</v>
      </c>
    </row>
    <row r="45" spans="2:6" ht="15" customHeight="1" x14ac:dyDescent="0.25">
      <c r="B45" s="528"/>
      <c r="C45" s="519" t="s">
        <v>498</v>
      </c>
      <c r="D45" s="532"/>
    </row>
    <row r="46" spans="2:6" ht="15" customHeight="1" x14ac:dyDescent="0.25">
      <c r="B46" s="528"/>
      <c r="C46" s="540" t="s">
        <v>499</v>
      </c>
      <c r="D46" s="375">
        <f>D45*$D$7/1000</f>
        <v>0</v>
      </c>
      <c r="F46" s="93"/>
    </row>
    <row r="47" spans="2:6" ht="15" customHeight="1" x14ac:dyDescent="0.25">
      <c r="B47" s="528"/>
      <c r="C47" s="519" t="s">
        <v>445</v>
      </c>
      <c r="D47" s="532"/>
    </row>
    <row r="48" spans="2:6" ht="15" customHeight="1" thickBot="1" x14ac:dyDescent="0.3">
      <c r="B48" s="527"/>
      <c r="C48" s="540" t="s">
        <v>500</v>
      </c>
      <c r="D48" s="375">
        <f>D47*$D$8/1000</f>
        <v>0</v>
      </c>
      <c r="F48" s="93"/>
    </row>
    <row r="49" spans="2:6" ht="15" customHeight="1" x14ac:dyDescent="0.25">
      <c r="B49" s="526">
        <f>ÜLDANDMED!G10</f>
        <v>2026</v>
      </c>
      <c r="C49" s="250" t="s">
        <v>42</v>
      </c>
      <c r="D49" s="376"/>
    </row>
    <row r="50" spans="2:6" ht="15" customHeight="1" x14ac:dyDescent="0.25">
      <c r="B50" s="528"/>
      <c r="C50" s="251" t="s">
        <v>43</v>
      </c>
      <c r="D50" s="374">
        <f>D49*$D$5</f>
        <v>0</v>
      </c>
    </row>
    <row r="51" spans="2:6" ht="15" customHeight="1" x14ac:dyDescent="0.25">
      <c r="B51" s="528"/>
      <c r="C51" s="252" t="s">
        <v>44</v>
      </c>
      <c r="D51" s="374" t="e">
        <f>D50/a_2026</f>
        <v>#DIV/0!</v>
      </c>
    </row>
    <row r="52" spans="2:6" ht="15" customHeight="1" x14ac:dyDescent="0.25">
      <c r="B52" s="528"/>
      <c r="C52" s="253" t="s">
        <v>45</v>
      </c>
      <c r="D52" s="375">
        <f>D50*$D$6/1000</f>
        <v>0</v>
      </c>
    </row>
    <row r="53" spans="2:6" ht="15" customHeight="1" x14ac:dyDescent="0.25">
      <c r="B53" s="528"/>
      <c r="C53" s="519" t="s">
        <v>498</v>
      </c>
      <c r="D53" s="532"/>
    </row>
    <row r="54" spans="2:6" ht="15" customHeight="1" x14ac:dyDescent="0.25">
      <c r="B54" s="528"/>
      <c r="C54" s="540" t="s">
        <v>499</v>
      </c>
      <c r="D54" s="375">
        <f>D53*$D$7/1000</f>
        <v>0</v>
      </c>
      <c r="F54" s="93"/>
    </row>
    <row r="55" spans="2:6" ht="15" customHeight="1" x14ac:dyDescent="0.25">
      <c r="B55" s="528"/>
      <c r="C55" s="519" t="s">
        <v>445</v>
      </c>
      <c r="D55" s="532"/>
    </row>
    <row r="56" spans="2:6" ht="15" customHeight="1" thickBot="1" x14ac:dyDescent="0.3">
      <c r="B56" s="527"/>
      <c r="C56" s="540" t="s">
        <v>500</v>
      </c>
      <c r="D56" s="375">
        <f>D55*$D$8/1000</f>
        <v>0</v>
      </c>
      <c r="F56" s="93"/>
    </row>
    <row r="57" spans="2:6" ht="15" customHeight="1" x14ac:dyDescent="0.25">
      <c r="B57" s="526">
        <f>ÜLDANDMED!H10</f>
        <v>2027</v>
      </c>
      <c r="C57" s="250" t="s">
        <v>42</v>
      </c>
      <c r="D57" s="376"/>
    </row>
    <row r="58" spans="2:6" ht="15" customHeight="1" x14ac:dyDescent="0.25">
      <c r="B58" s="528"/>
      <c r="C58" s="251" t="s">
        <v>43</v>
      </c>
      <c r="D58" s="374">
        <f>D57*$D$5</f>
        <v>0</v>
      </c>
    </row>
    <row r="59" spans="2:6" ht="15" customHeight="1" x14ac:dyDescent="0.25">
      <c r="B59" s="528"/>
      <c r="C59" s="252" t="s">
        <v>44</v>
      </c>
      <c r="D59" s="374" t="e">
        <f>D58/a_2027</f>
        <v>#DIV/0!</v>
      </c>
    </row>
    <row r="60" spans="2:6" ht="15" customHeight="1" x14ac:dyDescent="0.25">
      <c r="B60" s="528"/>
      <c r="C60" s="253" t="s">
        <v>45</v>
      </c>
      <c r="D60" s="375">
        <f>D58*$D$6/1000</f>
        <v>0</v>
      </c>
    </row>
    <row r="61" spans="2:6" ht="15" customHeight="1" x14ac:dyDescent="0.25">
      <c r="B61" s="528"/>
      <c r="C61" s="519" t="s">
        <v>498</v>
      </c>
      <c r="D61" s="532"/>
    </row>
    <row r="62" spans="2:6" ht="15" customHeight="1" x14ac:dyDescent="0.25">
      <c r="B62" s="528"/>
      <c r="C62" s="540" t="s">
        <v>499</v>
      </c>
      <c r="D62" s="375">
        <f>D61*$D$7/1000</f>
        <v>0</v>
      </c>
      <c r="F62" s="93"/>
    </row>
    <row r="63" spans="2:6" ht="15" customHeight="1" x14ac:dyDescent="0.25">
      <c r="B63" s="528"/>
      <c r="C63" s="541" t="s">
        <v>445</v>
      </c>
      <c r="D63" s="542"/>
    </row>
    <row r="64" spans="2:6" ht="15" customHeight="1" thickBot="1" x14ac:dyDescent="0.3">
      <c r="B64" s="527"/>
      <c r="C64" s="545" t="s">
        <v>500</v>
      </c>
      <c r="D64" s="546">
        <f>D63*$D$8/1000</f>
        <v>0</v>
      </c>
      <c r="F64" s="93"/>
    </row>
    <row r="65" spans="2:6" ht="15" customHeight="1" x14ac:dyDescent="0.25">
      <c r="B65" s="526">
        <f>ÜLDANDMED!I10</f>
        <v>2028</v>
      </c>
      <c r="C65" s="250" t="s">
        <v>42</v>
      </c>
      <c r="D65" s="376"/>
    </row>
    <row r="66" spans="2:6" ht="15" customHeight="1" x14ac:dyDescent="0.25">
      <c r="B66" s="528"/>
      <c r="C66" s="251" t="s">
        <v>43</v>
      </c>
      <c r="D66" s="374">
        <f>D65*$D$5</f>
        <v>0</v>
      </c>
    </row>
    <row r="67" spans="2:6" ht="15" customHeight="1" x14ac:dyDescent="0.25">
      <c r="B67" s="528"/>
      <c r="C67" s="252" t="s">
        <v>44</v>
      </c>
      <c r="D67" s="374" t="e">
        <f>D66/a_2028</f>
        <v>#DIV/0!</v>
      </c>
    </row>
    <row r="68" spans="2:6" ht="15" customHeight="1" x14ac:dyDescent="0.25">
      <c r="B68" s="528"/>
      <c r="C68" s="253" t="s">
        <v>45</v>
      </c>
      <c r="D68" s="375">
        <f>D66*$D$6/1000</f>
        <v>0</v>
      </c>
    </row>
    <row r="69" spans="2:6" ht="15" customHeight="1" x14ac:dyDescent="0.25">
      <c r="B69" s="528"/>
      <c r="C69" s="519" t="s">
        <v>498</v>
      </c>
      <c r="D69" s="548"/>
    </row>
    <row r="70" spans="2:6" ht="15" customHeight="1" x14ac:dyDescent="0.25">
      <c r="B70" s="528"/>
      <c r="C70" s="540" t="s">
        <v>499</v>
      </c>
      <c r="D70" s="375">
        <f>D69*$D$7/1000</f>
        <v>0</v>
      </c>
      <c r="F70" s="93"/>
    </row>
    <row r="71" spans="2:6" ht="15" customHeight="1" x14ac:dyDescent="0.25">
      <c r="B71" s="528"/>
      <c r="C71" s="547" t="s">
        <v>445</v>
      </c>
      <c r="D71" s="549"/>
    </row>
    <row r="72" spans="2:6" ht="15" customHeight="1" thickBot="1" x14ac:dyDescent="0.3">
      <c r="B72" s="527"/>
      <c r="C72" s="545" t="s">
        <v>500</v>
      </c>
      <c r="D72" s="546">
        <f>D71*$D$8/1000</f>
        <v>0</v>
      </c>
      <c r="F72" s="93"/>
    </row>
  </sheetData>
  <mergeCells count="6">
    <mergeCell ref="B4:M4"/>
    <mergeCell ref="B9:I9"/>
    <mergeCell ref="B15:B16"/>
    <mergeCell ref="D15:D16"/>
    <mergeCell ref="B11:C11"/>
    <mergeCell ref="C15:C16"/>
  </mergeCells>
  <pageMargins left="0.70866141732283472" right="0.70866141732283472" top="0.74803149606299213" bottom="0.74803149606299213" header="0.31496062992125984" footer="0.31496062992125984"/>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CBA12"/>
    <pageSetUpPr fitToPage="1"/>
  </sheetPr>
  <dimension ref="A1:U202"/>
  <sheetViews>
    <sheetView showGridLines="0" showWhiteSpace="0" zoomScaleNormal="100" workbookViewId="0">
      <pane xSplit="1" ySplit="1" topLeftCell="C19" activePane="bottomRight" state="frozen"/>
      <selection pane="topRight" activeCell="B1" sqref="B1"/>
      <selection pane="bottomLeft" activeCell="A3" sqref="A3"/>
      <selection pane="bottomRight" activeCell="E43" sqref="E43:E44"/>
    </sheetView>
  </sheetViews>
  <sheetFormatPr defaultRowHeight="15" x14ac:dyDescent="0.25"/>
  <cols>
    <col min="1" max="1" width="2.5703125" customWidth="1"/>
    <col min="2" max="2" width="7.5703125" style="3" customWidth="1"/>
    <col min="3" max="3" width="57.7109375" style="3" bestFit="1" customWidth="1"/>
    <col min="4" max="15" width="10.7109375" style="3" customWidth="1"/>
    <col min="16" max="16" width="15.7109375" style="3" customWidth="1"/>
  </cols>
  <sheetData>
    <row r="1" spans="1:18" ht="18.600000000000001" customHeight="1" x14ac:dyDescent="0.3">
      <c r="B1" s="75" t="s">
        <v>46</v>
      </c>
    </row>
    <row r="2" spans="1:18" ht="15" customHeight="1" x14ac:dyDescent="0.3">
      <c r="C2" s="109"/>
    </row>
    <row r="3" spans="1:18" ht="64.5" customHeight="1" x14ac:dyDescent="0.25">
      <c r="B3" s="636" t="s">
        <v>381</v>
      </c>
      <c r="C3" s="637"/>
      <c r="D3" s="637"/>
      <c r="E3" s="637"/>
      <c r="F3" s="637"/>
      <c r="G3" s="637"/>
      <c r="H3" s="637"/>
      <c r="I3" s="637"/>
      <c r="J3" s="637"/>
      <c r="K3" s="637"/>
      <c r="L3" s="637"/>
      <c r="M3" s="637"/>
      <c r="N3" s="637"/>
      <c r="O3" s="637"/>
      <c r="P3" s="638"/>
    </row>
    <row r="4" spans="1:18" s="62" customFormat="1" ht="15" customHeight="1" x14ac:dyDescent="0.25">
      <c r="A4" s="61"/>
      <c r="B4" s="119"/>
      <c r="C4" s="134" t="s">
        <v>47</v>
      </c>
      <c r="D4" s="121" t="s">
        <v>48</v>
      </c>
      <c r="E4" s="122">
        <v>0.2</v>
      </c>
      <c r="F4" s="123" t="s">
        <v>49</v>
      </c>
      <c r="G4" s="122">
        <f>E4*1000</f>
        <v>200</v>
      </c>
      <c r="H4" s="123" t="s">
        <v>50</v>
      </c>
      <c r="I4"/>
      <c r="J4"/>
      <c r="K4"/>
      <c r="L4"/>
      <c r="M4"/>
      <c r="N4"/>
      <c r="P4" s="120"/>
    </row>
    <row r="5" spans="1:18" s="62" customFormat="1" ht="15" customHeight="1" x14ac:dyDescent="0.25">
      <c r="A5" s="61"/>
      <c r="B5" s="119"/>
      <c r="C5" s="134" t="s">
        <v>51</v>
      </c>
      <c r="D5" s="121" t="s">
        <v>48</v>
      </c>
      <c r="E5" s="122">
        <v>0.16</v>
      </c>
      <c r="F5" s="123" t="s">
        <v>49</v>
      </c>
      <c r="G5" s="122">
        <f t="shared" ref="G5:G8" si="0">E5*1000</f>
        <v>160</v>
      </c>
      <c r="H5" s="123" t="s">
        <v>50</v>
      </c>
      <c r="I5"/>
      <c r="J5"/>
      <c r="K5"/>
      <c r="L5"/>
      <c r="M5"/>
      <c r="N5"/>
      <c r="P5" s="120"/>
    </row>
    <row r="6" spans="1:18" s="62" customFormat="1" ht="15" customHeight="1" x14ac:dyDescent="0.25">
      <c r="A6" s="61"/>
      <c r="B6" s="119"/>
      <c r="C6" s="134" t="s">
        <v>52</v>
      </c>
      <c r="D6" s="121" t="s">
        <v>48</v>
      </c>
      <c r="E6" s="122">
        <v>0.05</v>
      </c>
      <c r="F6" s="123" t="s">
        <v>49</v>
      </c>
      <c r="G6" s="122">
        <f t="shared" si="0"/>
        <v>50</v>
      </c>
      <c r="H6" s="123" t="s">
        <v>50</v>
      </c>
      <c r="I6"/>
      <c r="J6"/>
      <c r="K6"/>
      <c r="L6"/>
      <c r="M6"/>
      <c r="N6"/>
      <c r="P6" s="120"/>
    </row>
    <row r="7" spans="1:18" s="62" customFormat="1" ht="15" customHeight="1" x14ac:dyDescent="0.25">
      <c r="A7" s="61"/>
      <c r="B7" s="119"/>
      <c r="C7" s="134" t="s">
        <v>53</v>
      </c>
      <c r="D7" s="121" t="s">
        <v>48</v>
      </c>
      <c r="E7" s="124">
        <v>0.05</v>
      </c>
      <c r="F7" s="123" t="s">
        <v>49</v>
      </c>
      <c r="G7" s="122">
        <f t="shared" si="0"/>
        <v>50</v>
      </c>
      <c r="H7" s="123" t="s">
        <v>50</v>
      </c>
      <c r="I7"/>
      <c r="J7"/>
      <c r="K7"/>
      <c r="L7"/>
      <c r="M7"/>
      <c r="N7"/>
      <c r="P7" s="120"/>
    </row>
    <row r="8" spans="1:18" s="62" customFormat="1" ht="15" customHeight="1" x14ac:dyDescent="0.25">
      <c r="A8" s="61"/>
      <c r="B8" s="119"/>
      <c r="C8" s="123" t="s">
        <v>54</v>
      </c>
      <c r="D8" s="121" t="s">
        <v>48</v>
      </c>
      <c r="E8" s="122">
        <v>0.1</v>
      </c>
      <c r="F8" s="123" t="s">
        <v>49</v>
      </c>
      <c r="G8" s="122">
        <f t="shared" si="0"/>
        <v>100</v>
      </c>
      <c r="H8" s="123" t="s">
        <v>50</v>
      </c>
      <c r="I8"/>
      <c r="J8"/>
      <c r="K8"/>
      <c r="L8"/>
      <c r="M8"/>
      <c r="N8"/>
      <c r="P8" s="120"/>
    </row>
    <row r="9" spans="1:18" s="62" customFormat="1" ht="139.5" customHeight="1" x14ac:dyDescent="0.25">
      <c r="A9" s="61"/>
      <c r="B9" s="639" t="s">
        <v>475</v>
      </c>
      <c r="C9" s="640"/>
      <c r="D9" s="640"/>
      <c r="E9" s="640"/>
      <c r="F9" s="640"/>
      <c r="G9" s="640"/>
      <c r="H9" s="640"/>
      <c r="I9" s="640"/>
      <c r="J9" s="640"/>
      <c r="K9" s="640"/>
      <c r="L9" s="640"/>
      <c r="M9" s="640"/>
      <c r="N9" s="640"/>
      <c r="O9" s="640"/>
      <c r="P9" s="641"/>
    </row>
    <row r="10" spans="1:18" s="62" customFormat="1" ht="15" customHeight="1" x14ac:dyDescent="0.25">
      <c r="A10" s="61"/>
      <c r="B10" s="101"/>
      <c r="C10" s="170"/>
      <c r="D10" s="16"/>
      <c r="E10" s="16"/>
      <c r="F10" s="16"/>
      <c r="M10"/>
    </row>
    <row r="11" spans="1:18" ht="14.65" customHeight="1" x14ac:dyDescent="0.25">
      <c r="A11" s="1"/>
      <c r="B11" s="589" t="s">
        <v>2</v>
      </c>
      <c r="C11" s="589"/>
      <c r="D11" s="38"/>
      <c r="E11" s="24"/>
      <c r="F11" s="24"/>
      <c r="G11" s="24"/>
      <c r="H11" s="24"/>
      <c r="I11" s="24"/>
      <c r="J11" s="24"/>
      <c r="K11" s="24"/>
      <c r="L11" s="24"/>
      <c r="M11" s="24"/>
      <c r="N11" s="24"/>
      <c r="O11" s="24"/>
      <c r="P11" s="57"/>
      <c r="Q11" s="18"/>
    </row>
    <row r="12" spans="1:18" ht="14.65" customHeight="1" x14ac:dyDescent="0.25">
      <c r="A12" s="1"/>
      <c r="C12" s="377" t="s">
        <v>55</v>
      </c>
      <c r="D12" s="24"/>
      <c r="G12" s="24"/>
      <c r="H12" s="24"/>
      <c r="I12" s="24"/>
      <c r="J12" s="24"/>
      <c r="K12" s="24"/>
      <c r="L12" s="24"/>
      <c r="M12" s="24"/>
      <c r="N12" s="24"/>
      <c r="O12" s="24"/>
      <c r="P12" s="57"/>
      <c r="Q12" s="18"/>
    </row>
    <row r="13" spans="1:18" ht="14.65" customHeight="1" x14ac:dyDescent="0.25">
      <c r="A13" s="1"/>
      <c r="C13" s="339" t="s">
        <v>4</v>
      </c>
      <c r="D13" s="24"/>
      <c r="G13" s="24"/>
      <c r="H13" s="24"/>
      <c r="I13" s="24"/>
      <c r="J13" s="24"/>
      <c r="K13" s="24"/>
      <c r="L13" s="24"/>
      <c r="M13" s="24"/>
      <c r="N13" s="24"/>
      <c r="O13" s="24"/>
      <c r="P13" s="57"/>
      <c r="Q13" s="18"/>
    </row>
    <row r="14" spans="1:18" s="19" customFormat="1" ht="14.65" customHeight="1" x14ac:dyDescent="0.25">
      <c r="C14" s="150" t="s">
        <v>7</v>
      </c>
      <c r="F14" s="20"/>
      <c r="G14" s="20"/>
      <c r="H14" s="20"/>
      <c r="I14" s="20"/>
      <c r="J14" s="20"/>
      <c r="K14" s="20"/>
      <c r="L14" s="20"/>
      <c r="M14" s="20"/>
      <c r="N14" s="20"/>
      <c r="O14" s="51"/>
      <c r="P14" s="52"/>
      <c r="Q14"/>
      <c r="R14"/>
    </row>
    <row r="15" spans="1:18" ht="15.75" thickBot="1" x14ac:dyDescent="0.3">
      <c r="A15" s="7"/>
      <c r="B15" s="6"/>
      <c r="D15" s="24"/>
      <c r="E15" s="24"/>
      <c r="F15" s="24"/>
      <c r="G15" s="24"/>
      <c r="H15" s="24"/>
      <c r="I15" s="24"/>
      <c r="J15" s="24"/>
      <c r="K15" s="24"/>
      <c r="L15" s="24"/>
      <c r="M15" s="24"/>
      <c r="N15" s="24"/>
      <c r="O15" s="24"/>
      <c r="P15" s="57"/>
      <c r="Q15" s="18"/>
    </row>
    <row r="16" spans="1:18" x14ac:dyDescent="0.25">
      <c r="B16" s="603" t="s">
        <v>9</v>
      </c>
      <c r="C16" s="645" t="s">
        <v>10</v>
      </c>
      <c r="D16" s="642" t="s">
        <v>11</v>
      </c>
      <c r="E16" s="600" t="s">
        <v>12</v>
      </c>
      <c r="F16" s="600" t="s">
        <v>13</v>
      </c>
      <c r="G16" s="600" t="s">
        <v>14</v>
      </c>
      <c r="H16" s="600" t="s">
        <v>15</v>
      </c>
      <c r="I16" s="600" t="s">
        <v>16</v>
      </c>
      <c r="J16" s="600" t="s">
        <v>17</v>
      </c>
      <c r="K16" s="600" t="s">
        <v>18</v>
      </c>
      <c r="L16" s="600" t="s">
        <v>19</v>
      </c>
      <c r="M16" s="600" t="s">
        <v>20</v>
      </c>
      <c r="N16" s="600" t="s">
        <v>21</v>
      </c>
      <c r="O16" s="643" t="s">
        <v>22</v>
      </c>
      <c r="P16" s="603" t="s">
        <v>23</v>
      </c>
    </row>
    <row r="17" spans="2:21" ht="15.75" thickBot="1" x14ac:dyDescent="0.3">
      <c r="B17" s="605"/>
      <c r="C17" s="646"/>
      <c r="D17" s="628"/>
      <c r="E17" s="602"/>
      <c r="F17" s="602"/>
      <c r="G17" s="602"/>
      <c r="H17" s="602"/>
      <c r="I17" s="602"/>
      <c r="J17" s="602"/>
      <c r="K17" s="602"/>
      <c r="L17" s="602"/>
      <c r="M17" s="602"/>
      <c r="N17" s="602"/>
      <c r="O17" s="644"/>
      <c r="P17" s="605"/>
    </row>
    <row r="18" spans="2:21" ht="14.65" customHeight="1" x14ac:dyDescent="0.25">
      <c r="B18" s="104">
        <f>ÜLDANDMED!C10</f>
        <v>2022</v>
      </c>
      <c r="C18" s="110" t="s">
        <v>56</v>
      </c>
      <c r="D18" s="332"/>
      <c r="E18" s="332"/>
      <c r="F18" s="332"/>
      <c r="G18" s="332"/>
      <c r="H18" s="332"/>
      <c r="I18" s="332"/>
      <c r="J18" s="332"/>
      <c r="K18" s="332"/>
      <c r="L18" s="332"/>
      <c r="M18" s="332"/>
      <c r="N18" s="332"/>
      <c r="O18" s="332"/>
      <c r="P18" s="366">
        <f>SUM(D18:O18)</f>
        <v>0</v>
      </c>
    </row>
    <row r="19" spans="2:21" s="2" customFormat="1" ht="14.65" customHeight="1" x14ac:dyDescent="0.25">
      <c r="B19" s="105"/>
      <c r="C19" s="46" t="s">
        <v>57</v>
      </c>
      <c r="D19" s="379">
        <f>D18*$G$4</f>
        <v>0</v>
      </c>
      <c r="E19" s="379">
        <f t="shared" ref="E19:O19" si="1">E18*$G$4</f>
        <v>0</v>
      </c>
      <c r="F19" s="379">
        <f t="shared" si="1"/>
        <v>0</v>
      </c>
      <c r="G19" s="379">
        <f t="shared" si="1"/>
        <v>0</v>
      </c>
      <c r="H19" s="379">
        <f t="shared" si="1"/>
        <v>0</v>
      </c>
      <c r="I19" s="379">
        <f t="shared" si="1"/>
        <v>0</v>
      </c>
      <c r="J19" s="379">
        <f t="shared" si="1"/>
        <v>0</v>
      </c>
      <c r="K19" s="379">
        <f t="shared" si="1"/>
        <v>0</v>
      </c>
      <c r="L19" s="379">
        <f t="shared" si="1"/>
        <v>0</v>
      </c>
      <c r="M19" s="379">
        <f t="shared" si="1"/>
        <v>0</v>
      </c>
      <c r="N19" s="379">
        <f t="shared" si="1"/>
        <v>0</v>
      </c>
      <c r="O19" s="379">
        <f t="shared" si="1"/>
        <v>0</v>
      </c>
      <c r="P19" s="366">
        <f>SUM(D19:O19)</f>
        <v>0</v>
      </c>
      <c r="R19"/>
      <c r="S19"/>
      <c r="T19"/>
      <c r="U19"/>
    </row>
    <row r="20" spans="2:21" s="2" customFormat="1" ht="14.65" customHeight="1" thickBot="1" x14ac:dyDescent="0.3">
      <c r="B20" s="105"/>
      <c r="C20" s="320" t="s">
        <v>58</v>
      </c>
      <c r="D20" s="378"/>
      <c r="E20" s="378"/>
      <c r="F20" s="378"/>
      <c r="G20" s="378"/>
      <c r="H20" s="378"/>
      <c r="I20" s="378"/>
      <c r="J20" s="378"/>
      <c r="K20" s="378"/>
      <c r="L20" s="378"/>
      <c r="M20" s="378"/>
      <c r="N20" s="378"/>
      <c r="O20" s="378"/>
      <c r="P20" s="365">
        <f>SUM(D20:O20)</f>
        <v>0</v>
      </c>
      <c r="R20"/>
      <c r="S20"/>
      <c r="T20"/>
      <c r="U20"/>
    </row>
    <row r="21" spans="2:21" s="2" customFormat="1" ht="14.65" customHeight="1" x14ac:dyDescent="0.25">
      <c r="B21" s="105"/>
      <c r="C21" s="319" t="s">
        <v>59</v>
      </c>
      <c r="D21" s="332"/>
      <c r="E21" s="332"/>
      <c r="F21" s="332"/>
      <c r="G21" s="332"/>
      <c r="H21" s="332"/>
      <c r="I21" s="332"/>
      <c r="J21" s="332"/>
      <c r="K21" s="332"/>
      <c r="L21" s="332"/>
      <c r="M21" s="332"/>
      <c r="N21" s="332"/>
      <c r="O21" s="332"/>
      <c r="P21" s="382">
        <f t="shared" ref="P21:P22" si="2">SUM(D21:O21)</f>
        <v>0</v>
      </c>
      <c r="R21"/>
      <c r="S21"/>
      <c r="T21"/>
      <c r="U21"/>
    </row>
    <row r="22" spans="2:21" s="2" customFormat="1" ht="14.65" customHeight="1" x14ac:dyDescent="0.25">
      <c r="B22" s="105"/>
      <c r="C22" s="46" t="s">
        <v>60</v>
      </c>
      <c r="D22" s="379">
        <f t="shared" ref="D22:O22" si="3">D21*$G$5</f>
        <v>0</v>
      </c>
      <c r="E22" s="379">
        <f t="shared" si="3"/>
        <v>0</v>
      </c>
      <c r="F22" s="379">
        <f t="shared" si="3"/>
        <v>0</v>
      </c>
      <c r="G22" s="379">
        <f t="shared" si="3"/>
        <v>0</v>
      </c>
      <c r="H22" s="379">
        <f t="shared" si="3"/>
        <v>0</v>
      </c>
      <c r="I22" s="379">
        <f t="shared" si="3"/>
        <v>0</v>
      </c>
      <c r="J22" s="379">
        <f t="shared" si="3"/>
        <v>0</v>
      </c>
      <c r="K22" s="379">
        <f t="shared" si="3"/>
        <v>0</v>
      </c>
      <c r="L22" s="379">
        <f t="shared" si="3"/>
        <v>0</v>
      </c>
      <c r="M22" s="379">
        <f t="shared" si="3"/>
        <v>0</v>
      </c>
      <c r="N22" s="379">
        <f t="shared" si="3"/>
        <v>0</v>
      </c>
      <c r="O22" s="379">
        <f t="shared" si="3"/>
        <v>0</v>
      </c>
      <c r="P22" s="366">
        <f t="shared" si="2"/>
        <v>0</v>
      </c>
      <c r="R22"/>
      <c r="S22"/>
      <c r="T22"/>
      <c r="U22"/>
    </row>
    <row r="23" spans="2:21" s="2" customFormat="1" ht="14.65" customHeight="1" thickBot="1" x14ac:dyDescent="0.3">
      <c r="B23" s="105"/>
      <c r="C23" s="320" t="s">
        <v>61</v>
      </c>
      <c r="D23" s="378"/>
      <c r="E23" s="378"/>
      <c r="F23" s="378"/>
      <c r="G23" s="378"/>
      <c r="H23" s="378"/>
      <c r="I23" s="378"/>
      <c r="J23" s="378"/>
      <c r="K23" s="378"/>
      <c r="L23" s="378"/>
      <c r="M23" s="378"/>
      <c r="N23" s="378"/>
      <c r="O23" s="378"/>
      <c r="P23" s="365">
        <f>SUM(D23:O23)</f>
        <v>0</v>
      </c>
      <c r="R23"/>
      <c r="S23"/>
      <c r="T23"/>
      <c r="U23"/>
    </row>
    <row r="24" spans="2:21" ht="14.65" customHeight="1" x14ac:dyDescent="0.25">
      <c r="B24" s="105"/>
      <c r="C24" s="319" t="s">
        <v>62</v>
      </c>
      <c r="D24" s="332"/>
      <c r="E24" s="332"/>
      <c r="F24" s="332"/>
      <c r="G24" s="332"/>
      <c r="H24" s="332"/>
      <c r="I24" s="332"/>
      <c r="J24" s="332"/>
      <c r="K24" s="332"/>
      <c r="L24" s="332"/>
      <c r="M24" s="332"/>
      <c r="N24" s="332"/>
      <c r="O24" s="332"/>
      <c r="P24" s="382">
        <f t="shared" ref="P24:P25" si="4">SUM(D24:O24)</f>
        <v>0</v>
      </c>
    </row>
    <row r="25" spans="2:21" ht="14.65" customHeight="1" x14ac:dyDescent="0.25">
      <c r="B25" s="105"/>
      <c r="C25" s="46" t="s">
        <v>63</v>
      </c>
      <c r="D25" s="379">
        <f t="shared" ref="D25:O25" si="5">D24*$G$6</f>
        <v>0</v>
      </c>
      <c r="E25" s="379">
        <f t="shared" si="5"/>
        <v>0</v>
      </c>
      <c r="F25" s="379">
        <f t="shared" si="5"/>
        <v>0</v>
      </c>
      <c r="G25" s="379">
        <f t="shared" si="5"/>
        <v>0</v>
      </c>
      <c r="H25" s="379">
        <f t="shared" si="5"/>
        <v>0</v>
      </c>
      <c r="I25" s="379">
        <f t="shared" si="5"/>
        <v>0</v>
      </c>
      <c r="J25" s="379">
        <f t="shared" si="5"/>
        <v>0</v>
      </c>
      <c r="K25" s="379">
        <f t="shared" si="5"/>
        <v>0</v>
      </c>
      <c r="L25" s="379">
        <f t="shared" si="5"/>
        <v>0</v>
      </c>
      <c r="M25" s="379">
        <f t="shared" si="5"/>
        <v>0</v>
      </c>
      <c r="N25" s="379">
        <f t="shared" si="5"/>
        <v>0</v>
      </c>
      <c r="O25" s="379">
        <f t="shared" si="5"/>
        <v>0</v>
      </c>
      <c r="P25" s="366">
        <f t="shared" si="4"/>
        <v>0</v>
      </c>
    </row>
    <row r="26" spans="2:21" ht="14.65" customHeight="1" thickBot="1" x14ac:dyDescent="0.3">
      <c r="B26" s="105"/>
      <c r="C26" s="320" t="s">
        <v>64</v>
      </c>
      <c r="D26" s="378"/>
      <c r="E26" s="378"/>
      <c r="F26" s="378"/>
      <c r="G26" s="378"/>
      <c r="H26" s="378"/>
      <c r="I26" s="378"/>
      <c r="J26" s="378"/>
      <c r="K26" s="378"/>
      <c r="L26" s="378"/>
      <c r="M26" s="378"/>
      <c r="N26" s="378"/>
      <c r="O26" s="378"/>
      <c r="P26" s="365">
        <f>SUM(D26:O26)</f>
        <v>0</v>
      </c>
    </row>
    <row r="27" spans="2:21" ht="14.65" customHeight="1" x14ac:dyDescent="0.25">
      <c r="B27" s="105"/>
      <c r="C27" s="319" t="s">
        <v>65</v>
      </c>
      <c r="D27" s="332"/>
      <c r="E27" s="332"/>
      <c r="F27" s="332"/>
      <c r="G27" s="332"/>
      <c r="H27" s="332"/>
      <c r="I27" s="332"/>
      <c r="J27" s="332"/>
      <c r="K27" s="332"/>
      <c r="L27" s="332"/>
      <c r="M27" s="332"/>
      <c r="N27" s="332"/>
      <c r="O27" s="332"/>
      <c r="P27" s="382">
        <f t="shared" ref="P27" si="6">SUM(D27:O27)</f>
        <v>0</v>
      </c>
    </row>
    <row r="28" spans="2:21" ht="14.65" customHeight="1" x14ac:dyDescent="0.25">
      <c r="B28" s="105"/>
      <c r="C28" s="46" t="s">
        <v>66</v>
      </c>
      <c r="D28" s="379">
        <f t="shared" ref="D28:O28" si="7">D27*$G$7</f>
        <v>0</v>
      </c>
      <c r="E28" s="379">
        <f t="shared" si="7"/>
        <v>0</v>
      </c>
      <c r="F28" s="379">
        <f t="shared" si="7"/>
        <v>0</v>
      </c>
      <c r="G28" s="379">
        <f t="shared" si="7"/>
        <v>0</v>
      </c>
      <c r="H28" s="379">
        <f t="shared" si="7"/>
        <v>0</v>
      </c>
      <c r="I28" s="379">
        <f t="shared" si="7"/>
        <v>0</v>
      </c>
      <c r="J28" s="379">
        <f t="shared" si="7"/>
        <v>0</v>
      </c>
      <c r="K28" s="379">
        <f t="shared" si="7"/>
        <v>0</v>
      </c>
      <c r="L28" s="379">
        <f t="shared" si="7"/>
        <v>0</v>
      </c>
      <c r="M28" s="379">
        <f t="shared" si="7"/>
        <v>0</v>
      </c>
      <c r="N28" s="379">
        <f t="shared" si="7"/>
        <v>0</v>
      </c>
      <c r="O28" s="379">
        <f t="shared" si="7"/>
        <v>0</v>
      </c>
      <c r="P28" s="366">
        <f t="shared" ref="P28" si="8">SUM(D28:O28)</f>
        <v>0</v>
      </c>
    </row>
    <row r="29" spans="2:21" ht="14.65" customHeight="1" thickBot="1" x14ac:dyDescent="0.3">
      <c r="B29" s="105"/>
      <c r="C29" s="320" t="s">
        <v>67</v>
      </c>
      <c r="D29" s="378"/>
      <c r="E29" s="378"/>
      <c r="F29" s="378"/>
      <c r="G29" s="378"/>
      <c r="H29" s="378"/>
      <c r="I29" s="378"/>
      <c r="J29" s="378"/>
      <c r="K29" s="378"/>
      <c r="L29" s="378"/>
      <c r="M29" s="378"/>
      <c r="N29" s="378"/>
      <c r="O29" s="378"/>
      <c r="P29" s="365">
        <f>SUM(D29:O29)</f>
        <v>0</v>
      </c>
    </row>
    <row r="30" spans="2:21" ht="15.75" thickBot="1" x14ac:dyDescent="0.3">
      <c r="B30" s="105"/>
      <c r="C30" s="323" t="s">
        <v>68</v>
      </c>
      <c r="D30" s="380">
        <f>D25+D26+D22+D23+D28+D29+D19+D20</f>
        <v>0</v>
      </c>
      <c r="E30" s="380">
        <f t="shared" ref="E30:O30" si="9">E25+E26+E22+E23+E28+E29+E19+E20</f>
        <v>0</v>
      </c>
      <c r="F30" s="380">
        <f t="shared" si="9"/>
        <v>0</v>
      </c>
      <c r="G30" s="380">
        <f t="shared" si="9"/>
        <v>0</v>
      </c>
      <c r="H30" s="380">
        <f t="shared" si="9"/>
        <v>0</v>
      </c>
      <c r="I30" s="380">
        <f t="shared" si="9"/>
        <v>0</v>
      </c>
      <c r="J30" s="380">
        <f t="shared" si="9"/>
        <v>0</v>
      </c>
      <c r="K30" s="380">
        <f t="shared" si="9"/>
        <v>0</v>
      </c>
      <c r="L30" s="380">
        <f t="shared" si="9"/>
        <v>0</v>
      </c>
      <c r="M30" s="380">
        <f t="shared" si="9"/>
        <v>0</v>
      </c>
      <c r="N30" s="380">
        <f t="shared" si="9"/>
        <v>0</v>
      </c>
      <c r="O30" s="380">
        <f t="shared" si="9"/>
        <v>0</v>
      </c>
      <c r="P30" s="383">
        <f>SUM(D30:O30)</f>
        <v>0</v>
      </c>
      <c r="Q30" s="73"/>
    </row>
    <row r="31" spans="2:21" ht="15.75" x14ac:dyDescent="0.25">
      <c r="B31" s="105"/>
      <c r="C31" s="321" t="s">
        <v>69</v>
      </c>
      <c r="D31" s="369"/>
      <c r="E31" s="369"/>
      <c r="F31" s="369"/>
      <c r="G31" s="369"/>
      <c r="H31" s="369"/>
      <c r="I31" s="369"/>
      <c r="J31" s="369"/>
      <c r="K31" s="369"/>
      <c r="L31" s="369"/>
      <c r="M31" s="369"/>
      <c r="N31" s="369"/>
      <c r="O31" s="369"/>
      <c r="P31" s="382">
        <f t="shared" ref="P31:P34" si="10">SUM(D31:O31)</f>
        <v>0</v>
      </c>
      <c r="Q31" s="73"/>
    </row>
    <row r="32" spans="2:21" x14ac:dyDescent="0.25">
      <c r="B32" s="105"/>
      <c r="C32" s="92" t="s">
        <v>70</v>
      </c>
      <c r="D32" s="379">
        <f>D31*$G$8</f>
        <v>0</v>
      </c>
      <c r="E32" s="379">
        <f t="shared" ref="E32:O32" si="11">E31*$G$8</f>
        <v>0</v>
      </c>
      <c r="F32" s="379">
        <f t="shared" si="11"/>
        <v>0</v>
      </c>
      <c r="G32" s="379">
        <f t="shared" si="11"/>
        <v>0</v>
      </c>
      <c r="H32" s="379">
        <f t="shared" si="11"/>
        <v>0</v>
      </c>
      <c r="I32" s="379">
        <f t="shared" si="11"/>
        <v>0</v>
      </c>
      <c r="J32" s="379">
        <f t="shared" si="11"/>
        <v>0</v>
      </c>
      <c r="K32" s="379">
        <f t="shared" si="11"/>
        <v>0</v>
      </c>
      <c r="L32" s="379">
        <f t="shared" si="11"/>
        <v>0</v>
      </c>
      <c r="M32" s="379">
        <f t="shared" si="11"/>
        <v>0</v>
      </c>
      <c r="N32" s="379">
        <f t="shared" si="11"/>
        <v>0</v>
      </c>
      <c r="O32" s="379">
        <f t="shared" si="11"/>
        <v>0</v>
      </c>
      <c r="P32" s="366">
        <f t="shared" si="10"/>
        <v>0</v>
      </c>
      <c r="Q32" s="73"/>
    </row>
    <row r="33" spans="2:21" ht="15.75" thickBot="1" x14ac:dyDescent="0.3">
      <c r="B33" s="105"/>
      <c r="C33" s="265" t="s">
        <v>71</v>
      </c>
      <c r="D33" s="378"/>
      <c r="E33" s="378"/>
      <c r="F33" s="378"/>
      <c r="G33" s="378"/>
      <c r="H33" s="378"/>
      <c r="I33" s="378"/>
      <c r="J33" s="378"/>
      <c r="K33" s="378"/>
      <c r="L33" s="378"/>
      <c r="M33" s="378"/>
      <c r="N33" s="378"/>
      <c r="O33" s="378"/>
      <c r="P33" s="365">
        <f>SUM(D33:O33)</f>
        <v>0</v>
      </c>
      <c r="Q33" s="73"/>
    </row>
    <row r="34" spans="2:21" ht="15.75" x14ac:dyDescent="0.25">
      <c r="B34" s="105"/>
      <c r="C34" s="321" t="s">
        <v>72</v>
      </c>
      <c r="D34" s="332"/>
      <c r="E34" s="332"/>
      <c r="F34" s="332"/>
      <c r="G34" s="332"/>
      <c r="H34" s="332"/>
      <c r="I34" s="332"/>
      <c r="J34" s="332"/>
      <c r="K34" s="332"/>
      <c r="L34" s="332"/>
      <c r="M34" s="332"/>
      <c r="N34" s="332"/>
      <c r="O34" s="332"/>
      <c r="P34" s="382">
        <f t="shared" si="10"/>
        <v>0</v>
      </c>
      <c r="Q34" s="73"/>
    </row>
    <row r="35" spans="2:21" ht="14.65" customHeight="1" x14ac:dyDescent="0.25">
      <c r="B35" s="105"/>
      <c r="C35" s="92" t="s">
        <v>73</v>
      </c>
      <c r="D35" s="379">
        <f t="shared" ref="D35:O35" si="12">D34*$G$8</f>
        <v>0</v>
      </c>
      <c r="E35" s="379">
        <f t="shared" si="12"/>
        <v>0</v>
      </c>
      <c r="F35" s="379">
        <f t="shared" si="12"/>
        <v>0</v>
      </c>
      <c r="G35" s="379">
        <f t="shared" si="12"/>
        <v>0</v>
      </c>
      <c r="H35" s="379">
        <f t="shared" si="12"/>
        <v>0</v>
      </c>
      <c r="I35" s="379">
        <f t="shared" si="12"/>
        <v>0</v>
      </c>
      <c r="J35" s="379">
        <f t="shared" si="12"/>
        <v>0</v>
      </c>
      <c r="K35" s="379">
        <f t="shared" si="12"/>
        <v>0</v>
      </c>
      <c r="L35" s="379">
        <f t="shared" si="12"/>
        <v>0</v>
      </c>
      <c r="M35" s="379">
        <f t="shared" si="12"/>
        <v>0</v>
      </c>
      <c r="N35" s="379">
        <f t="shared" si="12"/>
        <v>0</v>
      </c>
      <c r="O35" s="379">
        <f t="shared" si="12"/>
        <v>0</v>
      </c>
      <c r="P35" s="382">
        <f t="shared" ref="P35:P38" si="13">SUM(D35:O35)</f>
        <v>0</v>
      </c>
    </row>
    <row r="36" spans="2:21" ht="14.65" customHeight="1" thickBot="1" x14ac:dyDescent="0.3">
      <c r="B36" s="105"/>
      <c r="C36" s="265" t="s">
        <v>74</v>
      </c>
      <c r="D36" s="378"/>
      <c r="E36" s="378"/>
      <c r="F36" s="378"/>
      <c r="G36" s="378"/>
      <c r="H36" s="378"/>
      <c r="I36" s="378"/>
      <c r="J36" s="378"/>
      <c r="K36" s="378"/>
      <c r="L36" s="378"/>
      <c r="M36" s="378"/>
      <c r="N36" s="378"/>
      <c r="O36" s="378"/>
      <c r="P36" s="365">
        <f>SUM(D36:O36)</f>
        <v>0</v>
      </c>
    </row>
    <row r="37" spans="2:21" ht="14.65" customHeight="1" thickBot="1" x14ac:dyDescent="0.3">
      <c r="B37" s="105"/>
      <c r="C37" s="324" t="s">
        <v>75</v>
      </c>
      <c r="D37" s="380">
        <f>D32+D33+D35+D36</f>
        <v>0</v>
      </c>
      <c r="E37" s="380">
        <f t="shared" ref="E37:O37" si="14">E32+E33+E35+E36</f>
        <v>0</v>
      </c>
      <c r="F37" s="380">
        <f t="shared" si="14"/>
        <v>0</v>
      </c>
      <c r="G37" s="380">
        <f t="shared" si="14"/>
        <v>0</v>
      </c>
      <c r="H37" s="380">
        <f t="shared" si="14"/>
        <v>0</v>
      </c>
      <c r="I37" s="380">
        <f t="shared" si="14"/>
        <v>0</v>
      </c>
      <c r="J37" s="380">
        <f t="shared" si="14"/>
        <v>0</v>
      </c>
      <c r="K37" s="380">
        <f t="shared" si="14"/>
        <v>0</v>
      </c>
      <c r="L37" s="380">
        <f t="shared" si="14"/>
        <v>0</v>
      </c>
      <c r="M37" s="380">
        <f t="shared" si="14"/>
        <v>0</v>
      </c>
      <c r="N37" s="380">
        <f t="shared" si="14"/>
        <v>0</v>
      </c>
      <c r="O37" s="380">
        <f t="shared" si="14"/>
        <v>0</v>
      </c>
      <c r="P37" s="383">
        <f>SUM(D37:O37)</f>
        <v>0</v>
      </c>
    </row>
    <row r="38" spans="2:21" ht="15.75" thickBot="1" x14ac:dyDescent="0.3">
      <c r="B38" s="105"/>
      <c r="C38" s="323" t="s">
        <v>76</v>
      </c>
      <c r="D38" s="380">
        <f>D30+D37</f>
        <v>0</v>
      </c>
      <c r="E38" s="380">
        <f t="shared" ref="E38:O38" si="15">E30+E37</f>
        <v>0</v>
      </c>
      <c r="F38" s="380">
        <f t="shared" si="15"/>
        <v>0</v>
      </c>
      <c r="G38" s="380">
        <f t="shared" si="15"/>
        <v>0</v>
      </c>
      <c r="H38" s="380">
        <f t="shared" si="15"/>
        <v>0</v>
      </c>
      <c r="I38" s="380">
        <f t="shared" si="15"/>
        <v>0</v>
      </c>
      <c r="J38" s="380">
        <f t="shared" si="15"/>
        <v>0</v>
      </c>
      <c r="K38" s="380">
        <f t="shared" si="15"/>
        <v>0</v>
      </c>
      <c r="L38" s="380">
        <f t="shared" si="15"/>
        <v>0</v>
      </c>
      <c r="M38" s="380">
        <f t="shared" si="15"/>
        <v>0</v>
      </c>
      <c r="N38" s="380">
        <f t="shared" si="15"/>
        <v>0</v>
      </c>
      <c r="O38" s="380">
        <f t="shared" si="15"/>
        <v>0</v>
      </c>
      <c r="P38" s="383">
        <f t="shared" si="13"/>
        <v>0</v>
      </c>
    </row>
    <row r="39" spans="2:21" x14ac:dyDescent="0.25">
      <c r="B39" s="105"/>
      <c r="C39" s="325" t="s">
        <v>359</v>
      </c>
      <c r="D39" s="511"/>
      <c r="E39" s="511"/>
      <c r="F39" s="511"/>
      <c r="G39" s="511"/>
      <c r="H39" s="511"/>
      <c r="I39" s="511"/>
      <c r="J39" s="511"/>
      <c r="K39" s="511"/>
      <c r="L39" s="511"/>
      <c r="M39" s="511"/>
      <c r="N39" s="511"/>
      <c r="O39" s="511"/>
      <c r="P39" s="350" t="e">
        <f>P38/b_2022</f>
        <v>#DIV/0!</v>
      </c>
    </row>
    <row r="40" spans="2:21" ht="15.75" thickBot="1" x14ac:dyDescent="0.3">
      <c r="B40" s="106"/>
      <c r="C40" s="163" t="s">
        <v>77</v>
      </c>
      <c r="D40" s="381" t="e">
        <f>D30/D38</f>
        <v>#DIV/0!</v>
      </c>
      <c r="E40" s="381" t="e">
        <f t="shared" ref="E40:P40" si="16">E30/E38</f>
        <v>#DIV/0!</v>
      </c>
      <c r="F40" s="381" t="e">
        <f t="shared" si="16"/>
        <v>#DIV/0!</v>
      </c>
      <c r="G40" s="381" t="e">
        <f t="shared" si="16"/>
        <v>#DIV/0!</v>
      </c>
      <c r="H40" s="381" t="e">
        <f t="shared" si="16"/>
        <v>#DIV/0!</v>
      </c>
      <c r="I40" s="381" t="e">
        <f t="shared" si="16"/>
        <v>#DIV/0!</v>
      </c>
      <c r="J40" s="381" t="e">
        <f t="shared" si="16"/>
        <v>#DIV/0!</v>
      </c>
      <c r="K40" s="381" t="e">
        <f t="shared" si="16"/>
        <v>#DIV/0!</v>
      </c>
      <c r="L40" s="381" t="e">
        <f t="shared" si="16"/>
        <v>#DIV/0!</v>
      </c>
      <c r="M40" s="381" t="e">
        <f t="shared" si="16"/>
        <v>#DIV/0!</v>
      </c>
      <c r="N40" s="381" t="e">
        <f t="shared" si="16"/>
        <v>#DIV/0!</v>
      </c>
      <c r="O40" s="381" t="e">
        <f t="shared" si="16"/>
        <v>#DIV/0!</v>
      </c>
      <c r="P40" s="384" t="e">
        <f t="shared" si="16"/>
        <v>#DIV/0!</v>
      </c>
      <c r="Q40" s="97"/>
    </row>
    <row r="41" spans="2:21" ht="14.65" customHeight="1" x14ac:dyDescent="0.25">
      <c r="B41" s="39"/>
      <c r="C41" s="322"/>
      <c r="D41" s="15"/>
      <c r="E41" s="15"/>
      <c r="F41" s="15"/>
      <c r="G41" s="15"/>
      <c r="H41" s="15"/>
      <c r="I41" s="15"/>
      <c r="J41" s="15"/>
      <c r="K41" s="15"/>
      <c r="L41" s="15"/>
      <c r="M41" s="15"/>
      <c r="N41" s="15"/>
      <c r="O41" s="15"/>
      <c r="P41"/>
    </row>
    <row r="42" spans="2:21" ht="15.75" thickBot="1" x14ac:dyDescent="0.3"/>
    <row r="43" spans="2:21" x14ac:dyDescent="0.25">
      <c r="B43" s="603" t="s">
        <v>9</v>
      </c>
      <c r="C43" s="645" t="s">
        <v>10</v>
      </c>
      <c r="D43" s="642" t="s">
        <v>11</v>
      </c>
      <c r="E43" s="600" t="s">
        <v>12</v>
      </c>
      <c r="F43" s="600" t="s">
        <v>13</v>
      </c>
      <c r="G43" s="600" t="s">
        <v>14</v>
      </c>
      <c r="H43" s="600" t="s">
        <v>15</v>
      </c>
      <c r="I43" s="600" t="s">
        <v>16</v>
      </c>
      <c r="J43" s="600" t="s">
        <v>17</v>
      </c>
      <c r="K43" s="600" t="s">
        <v>18</v>
      </c>
      <c r="L43" s="600" t="s">
        <v>19</v>
      </c>
      <c r="M43" s="600" t="s">
        <v>20</v>
      </c>
      <c r="N43" s="600" t="s">
        <v>21</v>
      </c>
      <c r="O43" s="643" t="s">
        <v>22</v>
      </c>
      <c r="P43" s="603" t="s">
        <v>23</v>
      </c>
    </row>
    <row r="44" spans="2:21" ht="15.75" thickBot="1" x14ac:dyDescent="0.3">
      <c r="B44" s="605"/>
      <c r="C44" s="646"/>
      <c r="D44" s="628"/>
      <c r="E44" s="602"/>
      <c r="F44" s="602"/>
      <c r="G44" s="602"/>
      <c r="H44" s="602"/>
      <c r="I44" s="602"/>
      <c r="J44" s="602"/>
      <c r="K44" s="602"/>
      <c r="L44" s="602"/>
      <c r="M44" s="602"/>
      <c r="N44" s="602"/>
      <c r="O44" s="644"/>
      <c r="P44" s="605"/>
    </row>
    <row r="45" spans="2:21" ht="14.65" customHeight="1" x14ac:dyDescent="0.25">
      <c r="B45" s="104">
        <f>ÜLDANDMED!D10</f>
        <v>2023</v>
      </c>
      <c r="C45" s="110" t="s">
        <v>56</v>
      </c>
      <c r="D45" s="332"/>
      <c r="E45" s="332"/>
      <c r="F45" s="332"/>
      <c r="G45" s="332"/>
      <c r="H45" s="332"/>
      <c r="I45" s="332"/>
      <c r="J45" s="332"/>
      <c r="K45" s="332"/>
      <c r="L45" s="332"/>
      <c r="M45" s="332"/>
      <c r="N45" s="332"/>
      <c r="O45" s="332"/>
      <c r="P45" s="366">
        <f>SUM(D45:O45)</f>
        <v>0</v>
      </c>
    </row>
    <row r="46" spans="2:21" s="2" customFormat="1" ht="14.65" customHeight="1" x14ac:dyDescent="0.2">
      <c r="B46" s="105"/>
      <c r="C46" s="46" t="s">
        <v>57</v>
      </c>
      <c r="D46" s="379">
        <f>D45*$G$4</f>
        <v>0</v>
      </c>
      <c r="E46" s="379">
        <f t="shared" ref="E46:O46" si="17">E45*$G$4</f>
        <v>0</v>
      </c>
      <c r="F46" s="379">
        <f t="shared" si="17"/>
        <v>0</v>
      </c>
      <c r="G46" s="379">
        <f t="shared" si="17"/>
        <v>0</v>
      </c>
      <c r="H46" s="379">
        <f t="shared" si="17"/>
        <v>0</v>
      </c>
      <c r="I46" s="379">
        <f t="shared" si="17"/>
        <v>0</v>
      </c>
      <c r="J46" s="379">
        <f t="shared" si="17"/>
        <v>0</v>
      </c>
      <c r="K46" s="379">
        <f t="shared" si="17"/>
        <v>0</v>
      </c>
      <c r="L46" s="379">
        <f t="shared" si="17"/>
        <v>0</v>
      </c>
      <c r="M46" s="379">
        <f t="shared" si="17"/>
        <v>0</v>
      </c>
      <c r="N46" s="379">
        <f t="shared" si="17"/>
        <v>0</v>
      </c>
      <c r="O46" s="379">
        <f t="shared" si="17"/>
        <v>0</v>
      </c>
      <c r="P46" s="366">
        <f>SUM(D46:O46)</f>
        <v>0</v>
      </c>
    </row>
    <row r="47" spans="2:21" s="2" customFormat="1" ht="14.65" customHeight="1" thickBot="1" x14ac:dyDescent="0.3">
      <c r="B47" s="105"/>
      <c r="C47" s="320" t="s">
        <v>58</v>
      </c>
      <c r="D47" s="378"/>
      <c r="E47" s="378"/>
      <c r="F47" s="378"/>
      <c r="G47" s="378"/>
      <c r="H47" s="378"/>
      <c r="I47" s="378"/>
      <c r="J47" s="378"/>
      <c r="K47" s="378"/>
      <c r="L47" s="378"/>
      <c r="M47" s="378"/>
      <c r="N47" s="378"/>
      <c r="O47" s="378"/>
      <c r="P47" s="365">
        <f>SUM(D47:O47)</f>
        <v>0</v>
      </c>
      <c r="R47"/>
      <c r="S47"/>
      <c r="T47"/>
      <c r="U47"/>
    </row>
    <row r="48" spans="2:21" s="2" customFormat="1" ht="14.65" customHeight="1" x14ac:dyDescent="0.25">
      <c r="B48" s="105"/>
      <c r="C48" s="110" t="s">
        <v>59</v>
      </c>
      <c r="D48" s="332"/>
      <c r="E48" s="332"/>
      <c r="F48" s="332"/>
      <c r="G48" s="332"/>
      <c r="H48" s="332"/>
      <c r="I48" s="332"/>
      <c r="J48" s="332"/>
      <c r="K48" s="332"/>
      <c r="L48" s="332"/>
      <c r="M48" s="332"/>
      <c r="N48" s="332"/>
      <c r="O48" s="332"/>
      <c r="P48" s="366">
        <f t="shared" ref="P48:P49" si="18">SUM(D48:O48)</f>
        <v>0</v>
      </c>
      <c r="R48"/>
      <c r="S48"/>
      <c r="T48"/>
      <c r="U48"/>
    </row>
    <row r="49" spans="2:21" s="2" customFormat="1" ht="14.65" customHeight="1" x14ac:dyDescent="0.25">
      <c r="B49" s="87"/>
      <c r="C49" s="46" t="s">
        <v>60</v>
      </c>
      <c r="D49" s="379">
        <f>D48*$G$5</f>
        <v>0</v>
      </c>
      <c r="E49" s="379">
        <f t="shared" ref="E49:O49" si="19">E48*$G$5</f>
        <v>0</v>
      </c>
      <c r="F49" s="379">
        <f t="shared" si="19"/>
        <v>0</v>
      </c>
      <c r="G49" s="379">
        <f t="shared" si="19"/>
        <v>0</v>
      </c>
      <c r="H49" s="379">
        <f t="shared" si="19"/>
        <v>0</v>
      </c>
      <c r="I49" s="379">
        <f t="shared" si="19"/>
        <v>0</v>
      </c>
      <c r="J49" s="379">
        <f t="shared" si="19"/>
        <v>0</v>
      </c>
      <c r="K49" s="379">
        <f t="shared" si="19"/>
        <v>0</v>
      </c>
      <c r="L49" s="379">
        <f t="shared" si="19"/>
        <v>0</v>
      </c>
      <c r="M49" s="379">
        <f t="shared" si="19"/>
        <v>0</v>
      </c>
      <c r="N49" s="379">
        <f t="shared" si="19"/>
        <v>0</v>
      </c>
      <c r="O49" s="379">
        <f t="shared" si="19"/>
        <v>0</v>
      </c>
      <c r="P49" s="366">
        <f t="shared" si="18"/>
        <v>0</v>
      </c>
      <c r="R49"/>
      <c r="S49"/>
      <c r="T49"/>
      <c r="U49"/>
    </row>
    <row r="50" spans="2:21" s="2" customFormat="1" ht="14.65" customHeight="1" thickBot="1" x14ac:dyDescent="0.3">
      <c r="B50" s="105"/>
      <c r="C50" s="320" t="s">
        <v>61</v>
      </c>
      <c r="D50" s="378"/>
      <c r="E50" s="378"/>
      <c r="F50" s="378"/>
      <c r="G50" s="378"/>
      <c r="H50" s="378"/>
      <c r="I50" s="378"/>
      <c r="J50" s="378"/>
      <c r="K50" s="378"/>
      <c r="L50" s="378"/>
      <c r="M50" s="378"/>
      <c r="N50" s="378"/>
      <c r="O50" s="378"/>
      <c r="P50" s="365">
        <f>SUM(D50:O50)</f>
        <v>0</v>
      </c>
      <c r="R50"/>
      <c r="S50"/>
      <c r="T50"/>
      <c r="U50"/>
    </row>
    <row r="51" spans="2:21" ht="14.65" customHeight="1" x14ac:dyDescent="0.25">
      <c r="B51" s="87"/>
      <c r="C51" s="110" t="s">
        <v>62</v>
      </c>
      <c r="D51" s="332"/>
      <c r="E51" s="332"/>
      <c r="F51" s="332"/>
      <c r="G51" s="332"/>
      <c r="H51" s="332"/>
      <c r="I51" s="332"/>
      <c r="J51" s="332"/>
      <c r="K51" s="332"/>
      <c r="L51" s="332"/>
      <c r="M51" s="332"/>
      <c r="N51" s="332"/>
      <c r="O51" s="332"/>
      <c r="P51" s="366">
        <f t="shared" ref="P51:P52" si="20">SUM(D51:O51)</f>
        <v>0</v>
      </c>
    </row>
    <row r="52" spans="2:21" ht="14.65" customHeight="1" x14ac:dyDescent="0.25">
      <c r="B52" s="105"/>
      <c r="C52" s="46" t="s">
        <v>63</v>
      </c>
      <c r="D52" s="379">
        <f>D51*$G$6</f>
        <v>0</v>
      </c>
      <c r="E52" s="379">
        <f t="shared" ref="E52:O52" si="21">E51*$G$6</f>
        <v>0</v>
      </c>
      <c r="F52" s="379">
        <f t="shared" si="21"/>
        <v>0</v>
      </c>
      <c r="G52" s="379">
        <f t="shared" si="21"/>
        <v>0</v>
      </c>
      <c r="H52" s="379">
        <f t="shared" si="21"/>
        <v>0</v>
      </c>
      <c r="I52" s="379">
        <f t="shared" si="21"/>
        <v>0</v>
      </c>
      <c r="J52" s="379">
        <f t="shared" si="21"/>
        <v>0</v>
      </c>
      <c r="K52" s="379">
        <f t="shared" si="21"/>
        <v>0</v>
      </c>
      <c r="L52" s="379">
        <f t="shared" si="21"/>
        <v>0</v>
      </c>
      <c r="M52" s="379">
        <f t="shared" si="21"/>
        <v>0</v>
      </c>
      <c r="N52" s="379">
        <f t="shared" si="21"/>
        <v>0</v>
      </c>
      <c r="O52" s="379">
        <f t="shared" si="21"/>
        <v>0</v>
      </c>
      <c r="P52" s="366">
        <f t="shared" si="20"/>
        <v>0</v>
      </c>
    </row>
    <row r="53" spans="2:21" ht="14.65" customHeight="1" thickBot="1" x14ac:dyDescent="0.3">
      <c r="B53" s="105"/>
      <c r="C53" s="320" t="s">
        <v>64</v>
      </c>
      <c r="D53" s="378"/>
      <c r="E53" s="378"/>
      <c r="F53" s="378"/>
      <c r="G53" s="378"/>
      <c r="H53" s="378"/>
      <c r="I53" s="378"/>
      <c r="J53" s="378"/>
      <c r="K53" s="378"/>
      <c r="L53" s="378"/>
      <c r="M53" s="378"/>
      <c r="N53" s="378"/>
      <c r="O53" s="378"/>
      <c r="P53" s="365">
        <f>SUM(D53:O53)</f>
        <v>0</v>
      </c>
    </row>
    <row r="54" spans="2:21" ht="14.65" customHeight="1" x14ac:dyDescent="0.25">
      <c r="B54" s="105"/>
      <c r="C54" s="110" t="s">
        <v>65</v>
      </c>
      <c r="D54" s="332"/>
      <c r="E54" s="332"/>
      <c r="F54" s="332"/>
      <c r="G54" s="332"/>
      <c r="H54" s="332"/>
      <c r="I54" s="332"/>
      <c r="J54" s="332"/>
      <c r="K54" s="332"/>
      <c r="L54" s="332"/>
      <c r="M54" s="332"/>
      <c r="N54" s="332"/>
      <c r="O54" s="332"/>
      <c r="P54" s="366">
        <f t="shared" ref="P54" si="22">SUM(D54:O54)</f>
        <v>0</v>
      </c>
    </row>
    <row r="55" spans="2:21" ht="14.65" customHeight="1" x14ac:dyDescent="0.25">
      <c r="B55" s="105"/>
      <c r="C55" s="46" t="s">
        <v>66</v>
      </c>
      <c r="D55" s="379">
        <f>D54*$G$7</f>
        <v>0</v>
      </c>
      <c r="E55" s="379">
        <f t="shared" ref="E55:O55" si="23">E54*$G$7</f>
        <v>0</v>
      </c>
      <c r="F55" s="379">
        <f t="shared" si="23"/>
        <v>0</v>
      </c>
      <c r="G55" s="379">
        <f t="shared" si="23"/>
        <v>0</v>
      </c>
      <c r="H55" s="379">
        <f t="shared" si="23"/>
        <v>0</v>
      </c>
      <c r="I55" s="379">
        <f t="shared" si="23"/>
        <v>0</v>
      </c>
      <c r="J55" s="379">
        <f t="shared" si="23"/>
        <v>0</v>
      </c>
      <c r="K55" s="379">
        <f t="shared" si="23"/>
        <v>0</v>
      </c>
      <c r="L55" s="379">
        <f t="shared" si="23"/>
        <v>0</v>
      </c>
      <c r="M55" s="379">
        <f t="shared" si="23"/>
        <v>0</v>
      </c>
      <c r="N55" s="379">
        <f t="shared" si="23"/>
        <v>0</v>
      </c>
      <c r="O55" s="379">
        <f t="shared" si="23"/>
        <v>0</v>
      </c>
      <c r="P55" s="366">
        <f t="shared" ref="P55" si="24">SUM(D55:O55)</f>
        <v>0</v>
      </c>
    </row>
    <row r="56" spans="2:21" ht="14.65" customHeight="1" thickBot="1" x14ac:dyDescent="0.3">
      <c r="B56" s="105"/>
      <c r="C56" s="320" t="s">
        <v>67</v>
      </c>
      <c r="D56" s="378"/>
      <c r="E56" s="378"/>
      <c r="F56" s="378"/>
      <c r="G56" s="378"/>
      <c r="H56" s="378"/>
      <c r="I56" s="378"/>
      <c r="J56" s="378"/>
      <c r="K56" s="378"/>
      <c r="L56" s="378"/>
      <c r="M56" s="378"/>
      <c r="N56" s="378"/>
      <c r="O56" s="378"/>
      <c r="P56" s="365">
        <f>SUM(D56:O56)</f>
        <v>0</v>
      </c>
    </row>
    <row r="57" spans="2:21" ht="15.75" thickBot="1" x14ac:dyDescent="0.3">
      <c r="B57" s="105"/>
      <c r="C57" s="323" t="s">
        <v>68</v>
      </c>
      <c r="D57" s="380">
        <f>D52+D53+D49+D50+D55+D56+D46+D47</f>
        <v>0</v>
      </c>
      <c r="E57" s="380">
        <f t="shared" ref="E57:O57" si="25">E52+E53+E49+E50+E55+E56+E46+E47</f>
        <v>0</v>
      </c>
      <c r="F57" s="380">
        <f t="shared" si="25"/>
        <v>0</v>
      </c>
      <c r="G57" s="380">
        <f t="shared" si="25"/>
        <v>0</v>
      </c>
      <c r="H57" s="380">
        <f t="shared" si="25"/>
        <v>0</v>
      </c>
      <c r="I57" s="380">
        <f t="shared" si="25"/>
        <v>0</v>
      </c>
      <c r="J57" s="380">
        <f t="shared" si="25"/>
        <v>0</v>
      </c>
      <c r="K57" s="380">
        <f t="shared" si="25"/>
        <v>0</v>
      </c>
      <c r="L57" s="380">
        <f t="shared" si="25"/>
        <v>0</v>
      </c>
      <c r="M57" s="380">
        <f t="shared" si="25"/>
        <v>0</v>
      </c>
      <c r="N57" s="380">
        <f t="shared" si="25"/>
        <v>0</v>
      </c>
      <c r="O57" s="380">
        <f t="shared" si="25"/>
        <v>0</v>
      </c>
      <c r="P57" s="383">
        <f>SUM(D57:O57)</f>
        <v>0</v>
      </c>
    </row>
    <row r="58" spans="2:21" ht="15.75" x14ac:dyDescent="0.25">
      <c r="B58" s="105"/>
      <c r="C58" s="321" t="s">
        <v>69</v>
      </c>
      <c r="D58" s="369"/>
      <c r="E58" s="369"/>
      <c r="F58" s="369"/>
      <c r="G58" s="369"/>
      <c r="H58" s="369"/>
      <c r="I58" s="369"/>
      <c r="J58" s="369"/>
      <c r="K58" s="369"/>
      <c r="L58" s="369"/>
      <c r="M58" s="369"/>
      <c r="N58" s="369"/>
      <c r="O58" s="369"/>
      <c r="P58" s="382">
        <f t="shared" ref="P58:P62" si="26">SUM(D58:O58)</f>
        <v>0</v>
      </c>
      <c r="Q58" s="73"/>
    </row>
    <row r="59" spans="2:21" x14ac:dyDescent="0.25">
      <c r="B59" s="105"/>
      <c r="C59" s="92" t="s">
        <v>70</v>
      </c>
      <c r="D59" s="379">
        <f>D58*$G$8</f>
        <v>0</v>
      </c>
      <c r="E59" s="379">
        <f t="shared" ref="E59" si="27">E58*$G$8</f>
        <v>0</v>
      </c>
      <c r="F59" s="379">
        <f t="shared" ref="F59" si="28">F58*$G$8</f>
        <v>0</v>
      </c>
      <c r="G59" s="379">
        <f t="shared" ref="G59" si="29">G58*$G$8</f>
        <v>0</v>
      </c>
      <c r="H59" s="379">
        <f t="shared" ref="H59" si="30">H58*$G$8</f>
        <v>0</v>
      </c>
      <c r="I59" s="379">
        <f t="shared" ref="I59" si="31">I58*$G$8</f>
        <v>0</v>
      </c>
      <c r="J59" s="379">
        <f t="shared" ref="J59" si="32">J58*$G$8</f>
        <v>0</v>
      </c>
      <c r="K59" s="379">
        <f t="shared" ref="K59" si="33">K58*$G$8</f>
        <v>0</v>
      </c>
      <c r="L59" s="379">
        <f t="shared" ref="L59" si="34">L58*$G$8</f>
        <v>0</v>
      </c>
      <c r="M59" s="379">
        <f t="shared" ref="M59" si="35">M58*$G$8</f>
        <v>0</v>
      </c>
      <c r="N59" s="379">
        <f t="shared" ref="N59" si="36">N58*$G$8</f>
        <v>0</v>
      </c>
      <c r="O59" s="379">
        <f t="shared" ref="O59" si="37">O58*$G$8</f>
        <v>0</v>
      </c>
      <c r="P59" s="366">
        <f t="shared" si="26"/>
        <v>0</v>
      </c>
      <c r="Q59" s="73"/>
    </row>
    <row r="60" spans="2:21" ht="15.75" thickBot="1" x14ac:dyDescent="0.3">
      <c r="B60" s="105"/>
      <c r="C60" s="265" t="s">
        <v>71</v>
      </c>
      <c r="D60" s="378"/>
      <c r="E60" s="378"/>
      <c r="F60" s="378"/>
      <c r="G60" s="378"/>
      <c r="H60" s="378"/>
      <c r="I60" s="378"/>
      <c r="J60" s="378"/>
      <c r="K60" s="378"/>
      <c r="L60" s="378"/>
      <c r="M60" s="378"/>
      <c r="N60" s="378"/>
      <c r="O60" s="378"/>
      <c r="P60" s="365">
        <f>SUM(D60:O60)</f>
        <v>0</v>
      </c>
      <c r="Q60" s="73"/>
    </row>
    <row r="61" spans="2:21" ht="15.75" x14ac:dyDescent="0.25">
      <c r="B61" s="105"/>
      <c r="C61" s="321" t="s">
        <v>72</v>
      </c>
      <c r="D61" s="332"/>
      <c r="E61" s="332"/>
      <c r="F61" s="332"/>
      <c r="G61" s="332"/>
      <c r="H61" s="332"/>
      <c r="I61" s="332"/>
      <c r="J61" s="332"/>
      <c r="K61" s="332"/>
      <c r="L61" s="332"/>
      <c r="M61" s="332"/>
      <c r="N61" s="332"/>
      <c r="O61" s="332"/>
      <c r="P61" s="366">
        <f t="shared" si="26"/>
        <v>0</v>
      </c>
      <c r="Q61" s="73"/>
    </row>
    <row r="62" spans="2:21" ht="14.65" customHeight="1" x14ac:dyDescent="0.25">
      <c r="B62" s="105"/>
      <c r="C62" s="92" t="s">
        <v>73</v>
      </c>
      <c r="D62" s="379">
        <f>D61*$G$8</f>
        <v>0</v>
      </c>
      <c r="E62" s="379">
        <f t="shared" ref="E62" si="38">E61*$G$8</f>
        <v>0</v>
      </c>
      <c r="F62" s="379">
        <f t="shared" ref="F62" si="39">F61*$G$8</f>
        <v>0</v>
      </c>
      <c r="G62" s="379">
        <f t="shared" ref="G62" si="40">G61*$G$8</f>
        <v>0</v>
      </c>
      <c r="H62" s="379">
        <f t="shared" ref="H62" si="41">H61*$G$8</f>
        <v>0</v>
      </c>
      <c r="I62" s="379">
        <f t="shared" ref="I62" si="42">I61*$G$8</f>
        <v>0</v>
      </c>
      <c r="J62" s="379">
        <f t="shared" ref="J62" si="43">J61*$G$8</f>
        <v>0</v>
      </c>
      <c r="K62" s="379">
        <f t="shared" ref="K62" si="44">K61*$G$8</f>
        <v>0</v>
      </c>
      <c r="L62" s="379">
        <f t="shared" ref="L62" si="45">L61*$G$8</f>
        <v>0</v>
      </c>
      <c r="M62" s="379">
        <f t="shared" ref="M62" si="46">M61*$G$8</f>
        <v>0</v>
      </c>
      <c r="N62" s="379">
        <f t="shared" ref="N62" si="47">N61*$G$8</f>
        <v>0</v>
      </c>
      <c r="O62" s="379">
        <f t="shared" ref="O62" si="48">O61*$G$8</f>
        <v>0</v>
      </c>
      <c r="P62" s="382">
        <f t="shared" si="26"/>
        <v>0</v>
      </c>
    </row>
    <row r="63" spans="2:21" ht="14.65" customHeight="1" thickBot="1" x14ac:dyDescent="0.3">
      <c r="B63" s="105"/>
      <c r="C63" s="265" t="s">
        <v>74</v>
      </c>
      <c r="D63" s="378"/>
      <c r="E63" s="378"/>
      <c r="F63" s="378"/>
      <c r="G63" s="378"/>
      <c r="H63" s="378"/>
      <c r="I63" s="378"/>
      <c r="J63" s="378"/>
      <c r="K63" s="378"/>
      <c r="L63" s="378"/>
      <c r="M63" s="378"/>
      <c r="N63" s="378"/>
      <c r="O63" s="378"/>
      <c r="P63" s="365">
        <f>SUM(D63:O63)</f>
        <v>0</v>
      </c>
    </row>
    <row r="64" spans="2:21" ht="14.65" customHeight="1" thickBot="1" x14ac:dyDescent="0.3">
      <c r="B64" s="105"/>
      <c r="C64" s="324" t="s">
        <v>75</v>
      </c>
      <c r="D64" s="380">
        <f>D59+D60+D62+D63</f>
        <v>0</v>
      </c>
      <c r="E64" s="380">
        <f t="shared" ref="E64:O64" si="49">E59+E60+E62+E63</f>
        <v>0</v>
      </c>
      <c r="F64" s="380">
        <f t="shared" si="49"/>
        <v>0</v>
      </c>
      <c r="G64" s="380">
        <f t="shared" si="49"/>
        <v>0</v>
      </c>
      <c r="H64" s="380">
        <f t="shared" si="49"/>
        <v>0</v>
      </c>
      <c r="I64" s="380">
        <f t="shared" si="49"/>
        <v>0</v>
      </c>
      <c r="J64" s="380">
        <f t="shared" si="49"/>
        <v>0</v>
      </c>
      <c r="K64" s="380">
        <f t="shared" si="49"/>
        <v>0</v>
      </c>
      <c r="L64" s="380">
        <f t="shared" si="49"/>
        <v>0</v>
      </c>
      <c r="M64" s="380">
        <f t="shared" si="49"/>
        <v>0</v>
      </c>
      <c r="N64" s="380">
        <f t="shared" si="49"/>
        <v>0</v>
      </c>
      <c r="O64" s="380">
        <f t="shared" si="49"/>
        <v>0</v>
      </c>
      <c r="P64" s="383">
        <f t="shared" ref="P64:P65" si="50">SUM(D64:O64)</f>
        <v>0</v>
      </c>
    </row>
    <row r="65" spans="2:21" ht="15.75" thickBot="1" x14ac:dyDescent="0.3">
      <c r="B65" s="105"/>
      <c r="C65" s="323" t="s">
        <v>76</v>
      </c>
      <c r="D65" s="380">
        <f t="shared" ref="D65:O65" si="51">D57+D64</f>
        <v>0</v>
      </c>
      <c r="E65" s="380">
        <f t="shared" si="51"/>
        <v>0</v>
      </c>
      <c r="F65" s="380">
        <f t="shared" si="51"/>
        <v>0</v>
      </c>
      <c r="G65" s="380">
        <f t="shared" si="51"/>
        <v>0</v>
      </c>
      <c r="H65" s="380">
        <f t="shared" si="51"/>
        <v>0</v>
      </c>
      <c r="I65" s="380">
        <f t="shared" si="51"/>
        <v>0</v>
      </c>
      <c r="J65" s="380">
        <f t="shared" si="51"/>
        <v>0</v>
      </c>
      <c r="K65" s="380">
        <f t="shared" si="51"/>
        <v>0</v>
      </c>
      <c r="L65" s="380">
        <f t="shared" si="51"/>
        <v>0</v>
      </c>
      <c r="M65" s="380">
        <f t="shared" si="51"/>
        <v>0</v>
      </c>
      <c r="N65" s="380">
        <f t="shared" si="51"/>
        <v>0</v>
      </c>
      <c r="O65" s="380">
        <f t="shared" si="51"/>
        <v>0</v>
      </c>
      <c r="P65" s="383">
        <f t="shared" si="50"/>
        <v>0</v>
      </c>
    </row>
    <row r="66" spans="2:21" x14ac:dyDescent="0.25">
      <c r="B66" s="105"/>
      <c r="C66" s="325" t="s">
        <v>359</v>
      </c>
      <c r="D66" s="512"/>
      <c r="E66" s="512"/>
      <c r="F66" s="512"/>
      <c r="G66" s="512"/>
      <c r="H66" s="512"/>
      <c r="I66" s="512"/>
      <c r="J66" s="512"/>
      <c r="K66" s="512"/>
      <c r="L66" s="512"/>
      <c r="M66" s="512"/>
      <c r="N66" s="512"/>
      <c r="O66" s="512"/>
      <c r="P66" s="350" t="e">
        <f>P65/b_2023</f>
        <v>#DIV/0!</v>
      </c>
    </row>
    <row r="67" spans="2:21" ht="15.75" thickBot="1" x14ac:dyDescent="0.3">
      <c r="B67" s="106"/>
      <c r="C67" s="163" t="s">
        <v>77</v>
      </c>
      <c r="D67" s="381" t="e">
        <f t="shared" ref="D67:P67" si="52">D57/D65</f>
        <v>#DIV/0!</v>
      </c>
      <c r="E67" s="381" t="e">
        <f t="shared" si="52"/>
        <v>#DIV/0!</v>
      </c>
      <c r="F67" s="381" t="e">
        <f t="shared" si="52"/>
        <v>#DIV/0!</v>
      </c>
      <c r="G67" s="381" t="e">
        <f t="shared" si="52"/>
        <v>#DIV/0!</v>
      </c>
      <c r="H67" s="381" t="e">
        <f t="shared" si="52"/>
        <v>#DIV/0!</v>
      </c>
      <c r="I67" s="381" t="e">
        <f t="shared" si="52"/>
        <v>#DIV/0!</v>
      </c>
      <c r="J67" s="381" t="e">
        <f t="shared" si="52"/>
        <v>#DIV/0!</v>
      </c>
      <c r="K67" s="381" t="e">
        <f t="shared" si="52"/>
        <v>#DIV/0!</v>
      </c>
      <c r="L67" s="381" t="e">
        <f t="shared" si="52"/>
        <v>#DIV/0!</v>
      </c>
      <c r="M67" s="381" t="e">
        <f t="shared" si="52"/>
        <v>#DIV/0!</v>
      </c>
      <c r="N67" s="381" t="e">
        <f t="shared" si="52"/>
        <v>#DIV/0!</v>
      </c>
      <c r="O67" s="381" t="e">
        <f t="shared" si="52"/>
        <v>#DIV/0!</v>
      </c>
      <c r="P67" s="384" t="e">
        <f t="shared" si="52"/>
        <v>#DIV/0!</v>
      </c>
      <c r="Q67" s="97"/>
    </row>
    <row r="68" spans="2:21" ht="14.65" customHeight="1" x14ac:dyDescent="0.25">
      <c r="B68" s="58"/>
      <c r="C68" s="59"/>
      <c r="D68" s="15"/>
      <c r="E68" s="15"/>
      <c r="F68" s="15"/>
      <c r="G68" s="15"/>
      <c r="H68" s="15"/>
      <c r="I68" s="15"/>
      <c r="J68" s="15"/>
      <c r="K68" s="15"/>
      <c r="L68" s="15"/>
      <c r="M68" s="15"/>
      <c r="N68" s="15"/>
      <c r="O68" s="15"/>
      <c r="P68"/>
    </row>
    <row r="69" spans="2:21" ht="15.75" thickBot="1" x14ac:dyDescent="0.3"/>
    <row r="70" spans="2:21" x14ac:dyDescent="0.25">
      <c r="B70" s="603" t="s">
        <v>9</v>
      </c>
      <c r="C70" s="645" t="s">
        <v>10</v>
      </c>
      <c r="D70" s="642" t="s">
        <v>11</v>
      </c>
      <c r="E70" s="600" t="s">
        <v>12</v>
      </c>
      <c r="F70" s="600" t="s">
        <v>13</v>
      </c>
      <c r="G70" s="600" t="s">
        <v>14</v>
      </c>
      <c r="H70" s="600" t="s">
        <v>15</v>
      </c>
      <c r="I70" s="600" t="s">
        <v>16</v>
      </c>
      <c r="J70" s="600" t="s">
        <v>17</v>
      </c>
      <c r="K70" s="600" t="s">
        <v>18</v>
      </c>
      <c r="L70" s="600" t="s">
        <v>19</v>
      </c>
      <c r="M70" s="600" t="s">
        <v>20</v>
      </c>
      <c r="N70" s="600" t="s">
        <v>21</v>
      </c>
      <c r="O70" s="643" t="s">
        <v>22</v>
      </c>
      <c r="P70" s="603" t="s">
        <v>23</v>
      </c>
    </row>
    <row r="71" spans="2:21" ht="15.75" thickBot="1" x14ac:dyDescent="0.3">
      <c r="B71" s="605"/>
      <c r="C71" s="646"/>
      <c r="D71" s="628"/>
      <c r="E71" s="602"/>
      <c r="F71" s="602"/>
      <c r="G71" s="602"/>
      <c r="H71" s="602"/>
      <c r="I71" s="602"/>
      <c r="J71" s="602"/>
      <c r="K71" s="602"/>
      <c r="L71" s="602"/>
      <c r="M71" s="602"/>
      <c r="N71" s="602"/>
      <c r="O71" s="644"/>
      <c r="P71" s="605"/>
    </row>
    <row r="72" spans="2:21" ht="14.65" customHeight="1" x14ac:dyDescent="0.25">
      <c r="B72" s="105">
        <f>ÜLDANDMED!E10</f>
        <v>2024</v>
      </c>
      <c r="C72" s="110" t="s">
        <v>56</v>
      </c>
      <c r="D72" s="332"/>
      <c r="E72" s="332"/>
      <c r="F72" s="332"/>
      <c r="G72" s="332"/>
      <c r="H72" s="332"/>
      <c r="I72" s="332"/>
      <c r="J72" s="332"/>
      <c r="K72" s="332"/>
      <c r="L72" s="332"/>
      <c r="M72" s="332"/>
      <c r="N72" s="332"/>
      <c r="O72" s="332"/>
      <c r="P72" s="366">
        <f>SUM(D72:O72)</f>
        <v>0</v>
      </c>
    </row>
    <row r="73" spans="2:21" s="2" customFormat="1" ht="14.65" customHeight="1" x14ac:dyDescent="0.2">
      <c r="B73" s="114"/>
      <c r="C73" s="46" t="s">
        <v>57</v>
      </c>
      <c r="D73" s="379">
        <f>D72*$G$4</f>
        <v>0</v>
      </c>
      <c r="E73" s="379">
        <f t="shared" ref="E73" si="53">E72*$G$4</f>
        <v>0</v>
      </c>
      <c r="F73" s="379">
        <f t="shared" ref="F73" si="54">F72*$G$4</f>
        <v>0</v>
      </c>
      <c r="G73" s="379">
        <f t="shared" ref="G73" si="55">G72*$G$4</f>
        <v>0</v>
      </c>
      <c r="H73" s="379">
        <f t="shared" ref="H73" si="56">H72*$G$4</f>
        <v>0</v>
      </c>
      <c r="I73" s="379">
        <f t="shared" ref="I73" si="57">I72*$G$4</f>
        <v>0</v>
      </c>
      <c r="J73" s="379">
        <f t="shared" ref="J73" si="58">J72*$G$4</f>
        <v>0</v>
      </c>
      <c r="K73" s="379">
        <f t="shared" ref="K73" si="59">K72*$G$4</f>
        <v>0</v>
      </c>
      <c r="L73" s="379">
        <f t="shared" ref="L73" si="60">L72*$G$4</f>
        <v>0</v>
      </c>
      <c r="M73" s="379">
        <f t="shared" ref="M73" si="61">M72*$G$4</f>
        <v>0</v>
      </c>
      <c r="N73" s="379">
        <f t="shared" ref="N73" si="62">N72*$G$4</f>
        <v>0</v>
      </c>
      <c r="O73" s="379">
        <f t="shared" ref="O73" si="63">O72*$G$4</f>
        <v>0</v>
      </c>
      <c r="P73" s="366">
        <f>SUM(D73:O73)</f>
        <v>0</v>
      </c>
    </row>
    <row r="74" spans="2:21" s="2" customFormat="1" ht="14.65" customHeight="1" thickBot="1" x14ac:dyDescent="0.3">
      <c r="B74" s="105"/>
      <c r="C74" s="320" t="s">
        <v>58</v>
      </c>
      <c r="D74" s="378"/>
      <c r="E74" s="378"/>
      <c r="F74" s="378"/>
      <c r="G74" s="378"/>
      <c r="H74" s="378"/>
      <c r="I74" s="378"/>
      <c r="J74" s="378"/>
      <c r="K74" s="378"/>
      <c r="L74" s="378"/>
      <c r="M74" s="378"/>
      <c r="N74" s="378"/>
      <c r="O74" s="378"/>
      <c r="P74" s="365">
        <f>SUM(D74:O74)</f>
        <v>0</v>
      </c>
      <c r="R74"/>
      <c r="S74"/>
      <c r="T74"/>
      <c r="U74"/>
    </row>
    <row r="75" spans="2:21" s="2" customFormat="1" ht="14.65" customHeight="1" x14ac:dyDescent="0.25">
      <c r="B75" s="105"/>
      <c r="C75" s="110" t="s">
        <v>59</v>
      </c>
      <c r="D75" s="332"/>
      <c r="E75" s="332"/>
      <c r="F75" s="332"/>
      <c r="G75" s="332"/>
      <c r="H75" s="332"/>
      <c r="I75" s="332"/>
      <c r="J75" s="332"/>
      <c r="K75" s="332"/>
      <c r="L75" s="332"/>
      <c r="M75" s="332"/>
      <c r="N75" s="332"/>
      <c r="O75" s="332"/>
      <c r="P75" s="366">
        <f t="shared" ref="P75:P82" si="64">SUM(D75:O75)</f>
        <v>0</v>
      </c>
      <c r="R75"/>
      <c r="S75"/>
      <c r="T75"/>
      <c r="U75"/>
    </row>
    <row r="76" spans="2:21" s="2" customFormat="1" ht="14.65" customHeight="1" x14ac:dyDescent="0.25">
      <c r="B76" s="87"/>
      <c r="C76" s="46" t="s">
        <v>60</v>
      </c>
      <c r="D76" s="379">
        <f>D75*$G$5</f>
        <v>0</v>
      </c>
      <c r="E76" s="379">
        <f t="shared" ref="E76" si="65">E75*$G$5</f>
        <v>0</v>
      </c>
      <c r="F76" s="379">
        <f t="shared" ref="F76" si="66">F75*$G$5</f>
        <v>0</v>
      </c>
      <c r="G76" s="379">
        <f t="shared" ref="G76" si="67">G75*$G$5</f>
        <v>0</v>
      </c>
      <c r="H76" s="379">
        <f t="shared" ref="H76" si="68">H75*$G$5</f>
        <v>0</v>
      </c>
      <c r="I76" s="379">
        <f t="shared" ref="I76" si="69">I75*$G$5</f>
        <v>0</v>
      </c>
      <c r="J76" s="379">
        <f t="shared" ref="J76" si="70">J75*$G$5</f>
        <v>0</v>
      </c>
      <c r="K76" s="379">
        <f t="shared" ref="K76" si="71">K75*$G$5</f>
        <v>0</v>
      </c>
      <c r="L76" s="379">
        <f t="shared" ref="L76" si="72">L75*$G$5</f>
        <v>0</v>
      </c>
      <c r="M76" s="379">
        <f t="shared" ref="M76" si="73">M75*$G$5</f>
        <v>0</v>
      </c>
      <c r="N76" s="379">
        <f t="shared" ref="N76" si="74">N75*$G$5</f>
        <v>0</v>
      </c>
      <c r="O76" s="379">
        <f t="shared" ref="O76" si="75">O75*$G$5</f>
        <v>0</v>
      </c>
      <c r="P76" s="366">
        <f t="shared" si="64"/>
        <v>0</v>
      </c>
      <c r="R76"/>
      <c r="S76"/>
      <c r="T76"/>
      <c r="U76"/>
    </row>
    <row r="77" spans="2:21" s="2" customFormat="1" ht="14.65" customHeight="1" thickBot="1" x14ac:dyDescent="0.3">
      <c r="B77" s="105"/>
      <c r="C77" s="320" t="s">
        <v>61</v>
      </c>
      <c r="D77" s="378"/>
      <c r="E77" s="378"/>
      <c r="F77" s="378"/>
      <c r="G77" s="378"/>
      <c r="H77" s="378"/>
      <c r="I77" s="378"/>
      <c r="J77" s="378"/>
      <c r="K77" s="378"/>
      <c r="L77" s="378"/>
      <c r="M77" s="378"/>
      <c r="N77" s="378"/>
      <c r="O77" s="378"/>
      <c r="P77" s="365">
        <f>SUM(D77:O77)</f>
        <v>0</v>
      </c>
      <c r="R77"/>
      <c r="S77"/>
      <c r="T77"/>
      <c r="U77"/>
    </row>
    <row r="78" spans="2:21" ht="14.65" customHeight="1" x14ac:dyDescent="0.25">
      <c r="B78" s="86"/>
      <c r="C78" s="110" t="s">
        <v>62</v>
      </c>
      <c r="D78" s="332"/>
      <c r="E78" s="332"/>
      <c r="F78" s="332"/>
      <c r="G78" s="332"/>
      <c r="H78" s="332"/>
      <c r="I78" s="332"/>
      <c r="J78" s="332"/>
      <c r="K78" s="332"/>
      <c r="L78" s="332"/>
      <c r="M78" s="332"/>
      <c r="N78" s="332"/>
      <c r="O78" s="332"/>
      <c r="P78" s="366">
        <f t="shared" si="64"/>
        <v>0</v>
      </c>
    </row>
    <row r="79" spans="2:21" ht="14.65" customHeight="1" x14ac:dyDescent="0.25">
      <c r="B79" s="77"/>
      <c r="C79" s="46" t="s">
        <v>63</v>
      </c>
      <c r="D79" s="379">
        <f>D78*$G$6</f>
        <v>0</v>
      </c>
      <c r="E79" s="379">
        <f t="shared" ref="E79" si="76">E78*$G$6</f>
        <v>0</v>
      </c>
      <c r="F79" s="379">
        <f t="shared" ref="F79" si="77">F78*$G$6</f>
        <v>0</v>
      </c>
      <c r="G79" s="379">
        <f t="shared" ref="G79" si="78">G78*$G$6</f>
        <v>0</v>
      </c>
      <c r="H79" s="379">
        <f t="shared" ref="H79" si="79">H78*$G$6</f>
        <v>0</v>
      </c>
      <c r="I79" s="379">
        <f t="shared" ref="I79" si="80">I78*$G$6</f>
        <v>0</v>
      </c>
      <c r="J79" s="379">
        <f t="shared" ref="J79" si="81">J78*$G$6</f>
        <v>0</v>
      </c>
      <c r="K79" s="379">
        <f t="shared" ref="K79" si="82">K78*$G$6</f>
        <v>0</v>
      </c>
      <c r="L79" s="379">
        <f t="shared" ref="L79" si="83">L78*$G$6</f>
        <v>0</v>
      </c>
      <c r="M79" s="379">
        <f t="shared" ref="M79" si="84">M78*$G$6</f>
        <v>0</v>
      </c>
      <c r="N79" s="379">
        <f t="shared" ref="N79" si="85">N78*$G$6</f>
        <v>0</v>
      </c>
      <c r="O79" s="379">
        <f t="shared" ref="O79" si="86">O78*$G$6</f>
        <v>0</v>
      </c>
      <c r="P79" s="366">
        <f t="shared" si="64"/>
        <v>0</v>
      </c>
    </row>
    <row r="80" spans="2:21" ht="14.65" customHeight="1" thickBot="1" x14ac:dyDescent="0.3">
      <c r="B80" s="105"/>
      <c r="C80" s="320" t="s">
        <v>64</v>
      </c>
      <c r="D80" s="378"/>
      <c r="E80" s="378"/>
      <c r="F80" s="378"/>
      <c r="G80" s="378"/>
      <c r="H80" s="378"/>
      <c r="I80" s="378"/>
      <c r="J80" s="378"/>
      <c r="K80" s="378"/>
      <c r="L80" s="378"/>
      <c r="M80" s="378"/>
      <c r="N80" s="378"/>
      <c r="O80" s="378"/>
      <c r="P80" s="365">
        <f>SUM(D80:O80)</f>
        <v>0</v>
      </c>
    </row>
    <row r="81" spans="2:17" ht="14.65" customHeight="1" x14ac:dyDescent="0.25">
      <c r="B81" s="77"/>
      <c r="C81" s="110" t="s">
        <v>65</v>
      </c>
      <c r="D81" s="332"/>
      <c r="E81" s="332"/>
      <c r="F81" s="332"/>
      <c r="G81" s="332"/>
      <c r="H81" s="332"/>
      <c r="I81" s="332"/>
      <c r="J81" s="332"/>
      <c r="K81" s="332"/>
      <c r="L81" s="332"/>
      <c r="M81" s="332"/>
      <c r="N81" s="332"/>
      <c r="O81" s="332"/>
      <c r="P81" s="366">
        <f t="shared" si="64"/>
        <v>0</v>
      </c>
    </row>
    <row r="82" spans="2:17" ht="14.65" customHeight="1" x14ac:dyDescent="0.25">
      <c r="B82" s="77"/>
      <c r="C82" s="46" t="s">
        <v>66</v>
      </c>
      <c r="D82" s="379">
        <f>D81*$G$7</f>
        <v>0</v>
      </c>
      <c r="E82" s="379">
        <f t="shared" ref="E82" si="87">E81*$G$7</f>
        <v>0</v>
      </c>
      <c r="F82" s="379">
        <f t="shared" ref="F82" si="88">F81*$G$7</f>
        <v>0</v>
      </c>
      <c r="G82" s="379">
        <f t="shared" ref="G82" si="89">G81*$G$7</f>
        <v>0</v>
      </c>
      <c r="H82" s="379">
        <f t="shared" ref="H82" si="90">H81*$G$7</f>
        <v>0</v>
      </c>
      <c r="I82" s="379">
        <f t="shared" ref="I82" si="91">I81*$G$7</f>
        <v>0</v>
      </c>
      <c r="J82" s="379">
        <f t="shared" ref="J82" si="92">J81*$G$7</f>
        <v>0</v>
      </c>
      <c r="K82" s="379">
        <f t="shared" ref="K82" si="93">K81*$G$7</f>
        <v>0</v>
      </c>
      <c r="L82" s="379">
        <f t="shared" ref="L82" si="94">L81*$G$7</f>
        <v>0</v>
      </c>
      <c r="M82" s="379">
        <f t="shared" ref="M82" si="95">M81*$G$7</f>
        <v>0</v>
      </c>
      <c r="N82" s="379">
        <f t="shared" ref="N82" si="96">N81*$G$7</f>
        <v>0</v>
      </c>
      <c r="O82" s="379">
        <f t="shared" ref="O82" si="97">O81*$G$7</f>
        <v>0</v>
      </c>
      <c r="P82" s="366">
        <f t="shared" si="64"/>
        <v>0</v>
      </c>
    </row>
    <row r="83" spans="2:17" ht="14.65" customHeight="1" thickBot="1" x14ac:dyDescent="0.3">
      <c r="B83" s="105"/>
      <c r="C83" s="320" t="s">
        <v>67</v>
      </c>
      <c r="D83" s="378"/>
      <c r="E83" s="378"/>
      <c r="F83" s="378"/>
      <c r="G83" s="378"/>
      <c r="H83" s="378"/>
      <c r="I83" s="378"/>
      <c r="J83" s="378"/>
      <c r="K83" s="378"/>
      <c r="L83" s="378"/>
      <c r="M83" s="378"/>
      <c r="N83" s="378"/>
      <c r="O83" s="378"/>
      <c r="P83" s="365">
        <f>SUM(D83:O83)</f>
        <v>0</v>
      </c>
    </row>
    <row r="84" spans="2:17" ht="15.75" thickBot="1" x14ac:dyDescent="0.3">
      <c r="B84" s="77"/>
      <c r="C84" s="323" t="s">
        <v>68</v>
      </c>
      <c r="D84" s="380">
        <f>D79+D80+D76+D77+D82+D83+D73+D74</f>
        <v>0</v>
      </c>
      <c r="E84" s="380">
        <f t="shared" ref="E84:O84" si="98">E79+E80+E76+E77+E82+E83+E73+E74</f>
        <v>0</v>
      </c>
      <c r="F84" s="380">
        <f t="shared" si="98"/>
        <v>0</v>
      </c>
      <c r="G84" s="380">
        <f t="shared" si="98"/>
        <v>0</v>
      </c>
      <c r="H84" s="380">
        <f t="shared" si="98"/>
        <v>0</v>
      </c>
      <c r="I84" s="380">
        <f t="shared" si="98"/>
        <v>0</v>
      </c>
      <c r="J84" s="380">
        <f t="shared" si="98"/>
        <v>0</v>
      </c>
      <c r="K84" s="380">
        <f t="shared" si="98"/>
        <v>0</v>
      </c>
      <c r="L84" s="380">
        <f t="shared" si="98"/>
        <v>0</v>
      </c>
      <c r="M84" s="380">
        <f t="shared" si="98"/>
        <v>0</v>
      </c>
      <c r="N84" s="380">
        <f t="shared" si="98"/>
        <v>0</v>
      </c>
      <c r="O84" s="380">
        <f t="shared" si="98"/>
        <v>0</v>
      </c>
      <c r="P84" s="383">
        <f>SUM(D84:O84)</f>
        <v>0</v>
      </c>
    </row>
    <row r="85" spans="2:17" ht="15.75" x14ac:dyDescent="0.25">
      <c r="B85" s="105"/>
      <c r="C85" s="321" t="s">
        <v>69</v>
      </c>
      <c r="D85" s="369"/>
      <c r="E85" s="369"/>
      <c r="F85" s="369"/>
      <c r="G85" s="369"/>
      <c r="H85" s="369"/>
      <c r="I85" s="369"/>
      <c r="J85" s="369"/>
      <c r="K85" s="369"/>
      <c r="L85" s="369"/>
      <c r="M85" s="369"/>
      <c r="N85" s="369"/>
      <c r="O85" s="369"/>
      <c r="P85" s="382">
        <f t="shared" ref="P85:P91" si="99">SUM(D85:O85)</f>
        <v>0</v>
      </c>
      <c r="Q85" s="73"/>
    </row>
    <row r="86" spans="2:17" x14ac:dyDescent="0.25">
      <c r="B86" s="105"/>
      <c r="C86" s="92" t="s">
        <v>70</v>
      </c>
      <c r="D86" s="379">
        <f>D85*$G$8</f>
        <v>0</v>
      </c>
      <c r="E86" s="379">
        <f t="shared" ref="E86" si="100">E85*$G$8</f>
        <v>0</v>
      </c>
      <c r="F86" s="379">
        <f t="shared" ref="F86" si="101">F85*$G$8</f>
        <v>0</v>
      </c>
      <c r="G86" s="379">
        <f t="shared" ref="G86" si="102">G85*$G$8</f>
        <v>0</v>
      </c>
      <c r="H86" s="379">
        <f t="shared" ref="H86" si="103">H85*$G$8</f>
        <v>0</v>
      </c>
      <c r="I86" s="379">
        <f t="shared" ref="I86" si="104">I85*$G$8</f>
        <v>0</v>
      </c>
      <c r="J86" s="379">
        <f t="shared" ref="J86" si="105">J85*$G$8</f>
        <v>0</v>
      </c>
      <c r="K86" s="379">
        <f t="shared" ref="K86" si="106">K85*$G$8</f>
        <v>0</v>
      </c>
      <c r="L86" s="379">
        <f t="shared" ref="L86" si="107">L85*$G$8</f>
        <v>0</v>
      </c>
      <c r="M86" s="379">
        <f t="shared" ref="M86" si="108">M85*$G$8</f>
        <v>0</v>
      </c>
      <c r="N86" s="379">
        <f t="shared" ref="N86" si="109">N85*$G$8</f>
        <v>0</v>
      </c>
      <c r="O86" s="379">
        <f t="shared" ref="O86" si="110">O85*$G$8</f>
        <v>0</v>
      </c>
      <c r="P86" s="366">
        <f t="shared" si="99"/>
        <v>0</v>
      </c>
      <c r="Q86" s="73"/>
    </row>
    <row r="87" spans="2:17" ht="15.75" thickBot="1" x14ac:dyDescent="0.3">
      <c r="B87" s="105"/>
      <c r="C87" s="265" t="s">
        <v>71</v>
      </c>
      <c r="D87" s="378"/>
      <c r="E87" s="378"/>
      <c r="F87" s="378"/>
      <c r="G87" s="378"/>
      <c r="H87" s="378"/>
      <c r="I87" s="378"/>
      <c r="J87" s="378"/>
      <c r="K87" s="378"/>
      <c r="L87" s="378"/>
      <c r="M87" s="378"/>
      <c r="N87" s="378"/>
      <c r="O87" s="378"/>
      <c r="P87" s="365">
        <f>SUM(D87:O87)</f>
        <v>0</v>
      </c>
      <c r="Q87" s="73"/>
    </row>
    <row r="88" spans="2:17" ht="15.75" x14ac:dyDescent="0.25">
      <c r="B88" s="105"/>
      <c r="C88" s="321" t="s">
        <v>72</v>
      </c>
      <c r="D88" s="332"/>
      <c r="E88" s="332"/>
      <c r="F88" s="332"/>
      <c r="G88" s="332"/>
      <c r="H88" s="332"/>
      <c r="I88" s="332"/>
      <c r="J88" s="332"/>
      <c r="K88" s="332"/>
      <c r="L88" s="332"/>
      <c r="M88" s="332"/>
      <c r="N88" s="332"/>
      <c r="O88" s="332"/>
      <c r="P88" s="366">
        <f t="shared" si="99"/>
        <v>0</v>
      </c>
      <c r="Q88" s="73"/>
    </row>
    <row r="89" spans="2:17" ht="14.65" customHeight="1" x14ac:dyDescent="0.25">
      <c r="B89" s="77"/>
      <c r="C89" s="92" t="s">
        <v>73</v>
      </c>
      <c r="D89" s="385">
        <f t="shared" ref="D89:O89" si="111">D88*$G$8</f>
        <v>0</v>
      </c>
      <c r="E89" s="385">
        <f t="shared" si="111"/>
        <v>0</v>
      </c>
      <c r="F89" s="385">
        <f t="shared" si="111"/>
        <v>0</v>
      </c>
      <c r="G89" s="385">
        <f t="shared" si="111"/>
        <v>0</v>
      </c>
      <c r="H89" s="385">
        <f t="shared" si="111"/>
        <v>0</v>
      </c>
      <c r="I89" s="385">
        <f t="shared" si="111"/>
        <v>0</v>
      </c>
      <c r="J89" s="385">
        <f t="shared" si="111"/>
        <v>0</v>
      </c>
      <c r="K89" s="385">
        <f t="shared" si="111"/>
        <v>0</v>
      </c>
      <c r="L89" s="385">
        <f t="shared" si="111"/>
        <v>0</v>
      </c>
      <c r="M89" s="385">
        <f t="shared" si="111"/>
        <v>0</v>
      </c>
      <c r="N89" s="385">
        <f t="shared" si="111"/>
        <v>0</v>
      </c>
      <c r="O89" s="385">
        <f t="shared" si="111"/>
        <v>0</v>
      </c>
      <c r="P89" s="382">
        <f t="shared" si="99"/>
        <v>0</v>
      </c>
    </row>
    <row r="90" spans="2:17" ht="14.65" customHeight="1" thickBot="1" x14ac:dyDescent="0.3">
      <c r="B90" s="105"/>
      <c r="C90" s="265" t="s">
        <v>74</v>
      </c>
      <c r="D90" s="378"/>
      <c r="E90" s="378"/>
      <c r="F90" s="378"/>
      <c r="G90" s="378"/>
      <c r="H90" s="378"/>
      <c r="I90" s="378"/>
      <c r="J90" s="378"/>
      <c r="K90" s="378"/>
      <c r="L90" s="378"/>
      <c r="M90" s="378"/>
      <c r="N90" s="378"/>
      <c r="O90" s="378"/>
      <c r="P90" s="365">
        <f>SUM(D90:O90)</f>
        <v>0</v>
      </c>
    </row>
    <row r="91" spans="2:17" ht="14.65" customHeight="1" thickBot="1" x14ac:dyDescent="0.3">
      <c r="B91" s="77"/>
      <c r="C91" s="324" t="s">
        <v>75</v>
      </c>
      <c r="D91" s="380">
        <f>D86+D87+D89+D90</f>
        <v>0</v>
      </c>
      <c r="E91" s="380">
        <f t="shared" ref="E91:O91" si="112">E86+E87+E89+E90</f>
        <v>0</v>
      </c>
      <c r="F91" s="380">
        <f t="shared" si="112"/>
        <v>0</v>
      </c>
      <c r="G91" s="380">
        <f t="shared" si="112"/>
        <v>0</v>
      </c>
      <c r="H91" s="380">
        <f t="shared" si="112"/>
        <v>0</v>
      </c>
      <c r="I91" s="380">
        <f t="shared" si="112"/>
        <v>0</v>
      </c>
      <c r="J91" s="380">
        <f t="shared" si="112"/>
        <v>0</v>
      </c>
      <c r="K91" s="380">
        <f t="shared" si="112"/>
        <v>0</v>
      </c>
      <c r="L91" s="380">
        <f t="shared" si="112"/>
        <v>0</v>
      </c>
      <c r="M91" s="380">
        <f t="shared" si="112"/>
        <v>0</v>
      </c>
      <c r="N91" s="380">
        <f t="shared" si="112"/>
        <v>0</v>
      </c>
      <c r="O91" s="380">
        <f t="shared" si="112"/>
        <v>0</v>
      </c>
      <c r="P91" s="383">
        <f t="shared" si="99"/>
        <v>0</v>
      </c>
    </row>
    <row r="92" spans="2:17" ht="15.75" thickBot="1" x14ac:dyDescent="0.3">
      <c r="B92" s="77"/>
      <c r="C92" s="323" t="s">
        <v>76</v>
      </c>
      <c r="D92" s="386">
        <f t="shared" ref="D92:O92" si="113">D84+D91</f>
        <v>0</v>
      </c>
      <c r="E92" s="386">
        <f t="shared" si="113"/>
        <v>0</v>
      </c>
      <c r="F92" s="386">
        <f t="shared" si="113"/>
        <v>0</v>
      </c>
      <c r="G92" s="386">
        <f t="shared" si="113"/>
        <v>0</v>
      </c>
      <c r="H92" s="386">
        <f t="shared" si="113"/>
        <v>0</v>
      </c>
      <c r="I92" s="386">
        <f t="shared" si="113"/>
        <v>0</v>
      </c>
      <c r="J92" s="386">
        <f t="shared" si="113"/>
        <v>0</v>
      </c>
      <c r="K92" s="386">
        <f t="shared" si="113"/>
        <v>0</v>
      </c>
      <c r="L92" s="386">
        <f t="shared" si="113"/>
        <v>0</v>
      </c>
      <c r="M92" s="386">
        <f t="shared" si="113"/>
        <v>0</v>
      </c>
      <c r="N92" s="386">
        <f t="shared" si="113"/>
        <v>0</v>
      </c>
      <c r="O92" s="386">
        <f t="shared" si="113"/>
        <v>0</v>
      </c>
      <c r="P92" s="383">
        <f t="shared" ref="P92" si="114">SUM(D92:O92)</f>
        <v>0</v>
      </c>
    </row>
    <row r="93" spans="2:17" x14ac:dyDescent="0.25">
      <c r="B93" s="77"/>
      <c r="C93" s="325" t="s">
        <v>359</v>
      </c>
      <c r="D93" s="513"/>
      <c r="E93" s="513"/>
      <c r="F93" s="513"/>
      <c r="G93" s="513"/>
      <c r="H93" s="513"/>
      <c r="I93" s="513"/>
      <c r="J93" s="513"/>
      <c r="K93" s="513"/>
      <c r="L93" s="513"/>
      <c r="M93" s="513"/>
      <c r="N93" s="513"/>
      <c r="O93" s="513"/>
      <c r="P93" s="350" t="e">
        <f>P92/b_2024</f>
        <v>#DIV/0!</v>
      </c>
    </row>
    <row r="94" spans="2:17" ht="15.75" thickBot="1" x14ac:dyDescent="0.3">
      <c r="B94" s="91"/>
      <c r="C94" s="163" t="s">
        <v>77</v>
      </c>
      <c r="D94" s="381" t="e">
        <f t="shared" ref="D94:P94" si="115">D84/D92</f>
        <v>#DIV/0!</v>
      </c>
      <c r="E94" s="381" t="e">
        <f t="shared" si="115"/>
        <v>#DIV/0!</v>
      </c>
      <c r="F94" s="381" t="e">
        <f t="shared" si="115"/>
        <v>#DIV/0!</v>
      </c>
      <c r="G94" s="381" t="e">
        <f t="shared" si="115"/>
        <v>#DIV/0!</v>
      </c>
      <c r="H94" s="381" t="e">
        <f t="shared" si="115"/>
        <v>#DIV/0!</v>
      </c>
      <c r="I94" s="381" t="e">
        <f t="shared" si="115"/>
        <v>#DIV/0!</v>
      </c>
      <c r="J94" s="381" t="e">
        <f t="shared" si="115"/>
        <v>#DIV/0!</v>
      </c>
      <c r="K94" s="381" t="e">
        <f t="shared" si="115"/>
        <v>#DIV/0!</v>
      </c>
      <c r="L94" s="381" t="e">
        <f t="shared" si="115"/>
        <v>#DIV/0!</v>
      </c>
      <c r="M94" s="381" t="e">
        <f t="shared" si="115"/>
        <v>#DIV/0!</v>
      </c>
      <c r="N94" s="381" t="e">
        <f t="shared" si="115"/>
        <v>#DIV/0!</v>
      </c>
      <c r="O94" s="381" t="e">
        <f t="shared" si="115"/>
        <v>#DIV/0!</v>
      </c>
      <c r="P94" s="384" t="e">
        <f t="shared" si="115"/>
        <v>#DIV/0!</v>
      </c>
      <c r="Q94" s="97"/>
    </row>
    <row r="95" spans="2:17" x14ac:dyDescent="0.25">
      <c r="D95"/>
      <c r="E95"/>
      <c r="F95"/>
      <c r="G95"/>
      <c r="H95"/>
      <c r="I95"/>
      <c r="J95"/>
      <c r="K95"/>
      <c r="L95"/>
      <c r="M95"/>
      <c r="N95"/>
      <c r="O95"/>
      <c r="P95"/>
    </row>
    <row r="96" spans="2:17" ht="14.65" customHeight="1" thickBot="1" x14ac:dyDescent="0.3">
      <c r="D96"/>
      <c r="E96"/>
      <c r="F96"/>
      <c r="G96"/>
      <c r="H96"/>
      <c r="I96"/>
      <c r="J96"/>
      <c r="K96"/>
      <c r="L96"/>
      <c r="M96"/>
      <c r="N96"/>
      <c r="O96"/>
      <c r="P96"/>
    </row>
    <row r="97" spans="2:21" x14ac:dyDescent="0.25">
      <c r="B97" s="603" t="s">
        <v>9</v>
      </c>
      <c r="C97" s="645" t="s">
        <v>10</v>
      </c>
      <c r="D97" s="642" t="s">
        <v>11</v>
      </c>
      <c r="E97" s="600" t="s">
        <v>12</v>
      </c>
      <c r="F97" s="600" t="s">
        <v>13</v>
      </c>
      <c r="G97" s="600" t="s">
        <v>14</v>
      </c>
      <c r="H97" s="600" t="s">
        <v>15</v>
      </c>
      <c r="I97" s="600" t="s">
        <v>16</v>
      </c>
      <c r="J97" s="600" t="s">
        <v>17</v>
      </c>
      <c r="K97" s="600" t="s">
        <v>18</v>
      </c>
      <c r="L97" s="600" t="s">
        <v>19</v>
      </c>
      <c r="M97" s="600" t="s">
        <v>20</v>
      </c>
      <c r="N97" s="600" t="s">
        <v>21</v>
      </c>
      <c r="O97" s="643" t="s">
        <v>22</v>
      </c>
      <c r="P97" s="603" t="s">
        <v>23</v>
      </c>
    </row>
    <row r="98" spans="2:21" ht="15.75" thickBot="1" x14ac:dyDescent="0.3">
      <c r="B98" s="605"/>
      <c r="C98" s="646"/>
      <c r="D98" s="628"/>
      <c r="E98" s="602"/>
      <c r="F98" s="602"/>
      <c r="G98" s="602"/>
      <c r="H98" s="602"/>
      <c r="I98" s="602"/>
      <c r="J98" s="602"/>
      <c r="K98" s="602"/>
      <c r="L98" s="602"/>
      <c r="M98" s="602"/>
      <c r="N98" s="602"/>
      <c r="O98" s="644"/>
      <c r="P98" s="605"/>
    </row>
    <row r="99" spans="2:21" ht="14.65" customHeight="1" x14ac:dyDescent="0.25">
      <c r="B99" s="104">
        <f>ÜLDANDMED!F10</f>
        <v>2025</v>
      </c>
      <c r="C99" s="110" t="s">
        <v>56</v>
      </c>
      <c r="D99" s="332"/>
      <c r="E99" s="332"/>
      <c r="F99" s="332"/>
      <c r="G99" s="332"/>
      <c r="H99" s="332"/>
      <c r="I99" s="332"/>
      <c r="J99" s="332"/>
      <c r="K99" s="332"/>
      <c r="L99" s="332"/>
      <c r="M99" s="332"/>
      <c r="N99" s="332"/>
      <c r="O99" s="332"/>
      <c r="P99" s="366">
        <f>SUM(D99:O99)</f>
        <v>0</v>
      </c>
    </row>
    <row r="100" spans="2:21" s="2" customFormat="1" ht="14.65" customHeight="1" x14ac:dyDescent="0.2">
      <c r="B100" s="105"/>
      <c r="C100" s="46" t="s">
        <v>57</v>
      </c>
      <c r="D100" s="385">
        <f>D99*$G$4</f>
        <v>0</v>
      </c>
      <c r="E100" s="385">
        <f t="shared" ref="E100" si="116">E99*$G$4</f>
        <v>0</v>
      </c>
      <c r="F100" s="385">
        <f t="shared" ref="F100" si="117">F99*$G$4</f>
        <v>0</v>
      </c>
      <c r="G100" s="385">
        <f t="shared" ref="G100" si="118">G99*$G$4</f>
        <v>0</v>
      </c>
      <c r="H100" s="385">
        <f t="shared" ref="H100" si="119">H99*$G$4</f>
        <v>0</v>
      </c>
      <c r="I100" s="385">
        <f t="shared" ref="I100" si="120">I99*$G$4</f>
        <v>0</v>
      </c>
      <c r="J100" s="385">
        <f t="shared" ref="J100" si="121">J99*$G$4</f>
        <v>0</v>
      </c>
      <c r="K100" s="385">
        <f t="shared" ref="K100" si="122">K99*$G$4</f>
        <v>0</v>
      </c>
      <c r="L100" s="385">
        <f t="shared" ref="L100" si="123">L99*$G$4</f>
        <v>0</v>
      </c>
      <c r="M100" s="385">
        <f t="shared" ref="M100" si="124">M99*$G$4</f>
        <v>0</v>
      </c>
      <c r="N100" s="385">
        <f t="shared" ref="N100" si="125">N99*$G$4</f>
        <v>0</v>
      </c>
      <c r="O100" s="385">
        <f t="shared" ref="O100" si="126">O99*$G$4</f>
        <v>0</v>
      </c>
      <c r="P100" s="366">
        <f>SUM(D100:O100)</f>
        <v>0</v>
      </c>
    </row>
    <row r="101" spans="2:21" s="2" customFormat="1" ht="14.65" customHeight="1" thickBot="1" x14ac:dyDescent="0.3">
      <c r="B101" s="105"/>
      <c r="C101" s="320" t="s">
        <v>58</v>
      </c>
      <c r="D101" s="378"/>
      <c r="E101" s="378"/>
      <c r="F101" s="378"/>
      <c r="G101" s="378"/>
      <c r="H101" s="378"/>
      <c r="I101" s="378"/>
      <c r="J101" s="378"/>
      <c r="K101" s="378"/>
      <c r="L101" s="378"/>
      <c r="M101" s="378"/>
      <c r="N101" s="378"/>
      <c r="O101" s="378"/>
      <c r="P101" s="365">
        <f>SUM(D101:O101)</f>
        <v>0</v>
      </c>
      <c r="R101"/>
      <c r="S101"/>
      <c r="T101"/>
      <c r="U101"/>
    </row>
    <row r="102" spans="2:21" s="2" customFormat="1" ht="14.65" customHeight="1" x14ac:dyDescent="0.25">
      <c r="B102" s="105"/>
      <c r="C102" s="110" t="s">
        <v>59</v>
      </c>
      <c r="D102" s="332"/>
      <c r="E102" s="332"/>
      <c r="F102" s="332"/>
      <c r="G102" s="332"/>
      <c r="H102" s="332"/>
      <c r="I102" s="332"/>
      <c r="J102" s="332"/>
      <c r="K102" s="332"/>
      <c r="L102" s="332"/>
      <c r="M102" s="332"/>
      <c r="N102" s="332"/>
      <c r="O102" s="332"/>
      <c r="P102" s="366">
        <f t="shared" ref="P102:P109" si="127">SUM(D102:O102)</f>
        <v>0</v>
      </c>
      <c r="R102"/>
      <c r="S102"/>
      <c r="T102"/>
      <c r="U102"/>
    </row>
    <row r="103" spans="2:21" s="2" customFormat="1" ht="14.65" customHeight="1" x14ac:dyDescent="0.25">
      <c r="B103" s="87"/>
      <c r="C103" s="46" t="s">
        <v>60</v>
      </c>
      <c r="D103" s="385">
        <f>D102*$G$5</f>
        <v>0</v>
      </c>
      <c r="E103" s="385">
        <f t="shared" ref="E103" si="128">E102*$G$5</f>
        <v>0</v>
      </c>
      <c r="F103" s="385">
        <f t="shared" ref="F103" si="129">F102*$G$5</f>
        <v>0</v>
      </c>
      <c r="G103" s="385">
        <f t="shared" ref="G103" si="130">G102*$G$5</f>
        <v>0</v>
      </c>
      <c r="H103" s="385">
        <f t="shared" ref="H103" si="131">H102*$G$5</f>
        <v>0</v>
      </c>
      <c r="I103" s="385">
        <f t="shared" ref="I103" si="132">I102*$G$5</f>
        <v>0</v>
      </c>
      <c r="J103" s="385">
        <f t="shared" ref="J103" si="133">J102*$G$5</f>
        <v>0</v>
      </c>
      <c r="K103" s="385">
        <f t="shared" ref="K103" si="134">K102*$G$5</f>
        <v>0</v>
      </c>
      <c r="L103" s="385">
        <f t="shared" ref="L103" si="135">L102*$G$5</f>
        <v>0</v>
      </c>
      <c r="M103" s="385">
        <f t="shared" ref="M103" si="136">M102*$G$5</f>
        <v>0</v>
      </c>
      <c r="N103" s="385">
        <f t="shared" ref="N103" si="137">N102*$G$5</f>
        <v>0</v>
      </c>
      <c r="O103" s="385">
        <f t="shared" ref="O103" si="138">O102*$G$5</f>
        <v>0</v>
      </c>
      <c r="P103" s="366">
        <f t="shared" si="127"/>
        <v>0</v>
      </c>
      <c r="R103"/>
      <c r="S103"/>
      <c r="T103"/>
      <c r="U103"/>
    </row>
    <row r="104" spans="2:21" s="2" customFormat="1" ht="14.65" customHeight="1" thickBot="1" x14ac:dyDescent="0.3">
      <c r="B104" s="105"/>
      <c r="C104" s="320" t="s">
        <v>61</v>
      </c>
      <c r="D104" s="378"/>
      <c r="E104" s="378"/>
      <c r="F104" s="378"/>
      <c r="G104" s="378"/>
      <c r="H104" s="378"/>
      <c r="I104" s="378"/>
      <c r="J104" s="378"/>
      <c r="K104" s="378"/>
      <c r="L104" s="378"/>
      <c r="M104" s="378"/>
      <c r="N104" s="378"/>
      <c r="O104" s="378"/>
      <c r="P104" s="365">
        <f>SUM(D104:O104)</f>
        <v>0</v>
      </c>
      <c r="R104"/>
      <c r="S104"/>
      <c r="T104"/>
      <c r="U104"/>
    </row>
    <row r="105" spans="2:21" ht="14.65" customHeight="1" x14ac:dyDescent="0.25">
      <c r="B105" s="86"/>
      <c r="C105" s="110" t="s">
        <v>62</v>
      </c>
      <c r="D105" s="332"/>
      <c r="E105" s="332"/>
      <c r="F105" s="332"/>
      <c r="G105" s="332"/>
      <c r="H105" s="332"/>
      <c r="I105" s="332"/>
      <c r="J105" s="332"/>
      <c r="K105" s="332"/>
      <c r="L105" s="332"/>
      <c r="M105" s="332"/>
      <c r="N105" s="332"/>
      <c r="O105" s="332"/>
      <c r="P105" s="366">
        <f t="shared" si="127"/>
        <v>0</v>
      </c>
    </row>
    <row r="106" spans="2:21" ht="14.65" customHeight="1" x14ac:dyDescent="0.25">
      <c r="B106" s="105"/>
      <c r="C106" s="46" t="s">
        <v>63</v>
      </c>
      <c r="D106" s="385">
        <f>D105*$G$6</f>
        <v>0</v>
      </c>
      <c r="E106" s="385">
        <f t="shared" ref="E106" si="139">E105*$G$6</f>
        <v>0</v>
      </c>
      <c r="F106" s="385">
        <f t="shared" ref="F106" si="140">F105*$G$6</f>
        <v>0</v>
      </c>
      <c r="G106" s="385">
        <f t="shared" ref="G106" si="141">G105*$G$6</f>
        <v>0</v>
      </c>
      <c r="H106" s="385">
        <f t="shared" ref="H106" si="142">H105*$G$6</f>
        <v>0</v>
      </c>
      <c r="I106" s="385">
        <f t="shared" ref="I106" si="143">I105*$G$6</f>
        <v>0</v>
      </c>
      <c r="J106" s="385">
        <f t="shared" ref="J106" si="144">J105*$G$6</f>
        <v>0</v>
      </c>
      <c r="K106" s="385">
        <f t="shared" ref="K106" si="145">K105*$G$6</f>
        <v>0</v>
      </c>
      <c r="L106" s="385">
        <f t="shared" ref="L106" si="146">L105*$G$6</f>
        <v>0</v>
      </c>
      <c r="M106" s="385">
        <f t="shared" ref="M106" si="147">M105*$G$6</f>
        <v>0</v>
      </c>
      <c r="N106" s="385">
        <f t="shared" ref="N106" si="148">N105*$G$6</f>
        <v>0</v>
      </c>
      <c r="O106" s="385">
        <f t="shared" ref="O106" si="149">O105*$G$6</f>
        <v>0</v>
      </c>
      <c r="P106" s="366">
        <f t="shared" si="127"/>
        <v>0</v>
      </c>
    </row>
    <row r="107" spans="2:21" ht="14.65" customHeight="1" thickBot="1" x14ac:dyDescent="0.3">
      <c r="B107" s="105"/>
      <c r="C107" s="320" t="s">
        <v>64</v>
      </c>
      <c r="D107" s="378"/>
      <c r="E107" s="378"/>
      <c r="F107" s="378"/>
      <c r="G107" s="378"/>
      <c r="H107" s="378"/>
      <c r="I107" s="378"/>
      <c r="J107" s="378"/>
      <c r="K107" s="378"/>
      <c r="L107" s="378"/>
      <c r="M107" s="378"/>
      <c r="N107" s="378"/>
      <c r="O107" s="378"/>
      <c r="P107" s="365">
        <f>SUM(D107:O107)</f>
        <v>0</v>
      </c>
    </row>
    <row r="108" spans="2:21" ht="14.65" customHeight="1" x14ac:dyDescent="0.25">
      <c r="B108" s="105"/>
      <c r="C108" s="110" t="s">
        <v>65</v>
      </c>
      <c r="D108" s="332"/>
      <c r="E108" s="332"/>
      <c r="F108" s="332"/>
      <c r="G108" s="332"/>
      <c r="H108" s="332"/>
      <c r="I108" s="332"/>
      <c r="J108" s="332"/>
      <c r="K108" s="332"/>
      <c r="L108" s="332"/>
      <c r="M108" s="332"/>
      <c r="N108" s="332"/>
      <c r="O108" s="332"/>
      <c r="P108" s="366">
        <f t="shared" si="127"/>
        <v>0</v>
      </c>
    </row>
    <row r="109" spans="2:21" ht="14.65" customHeight="1" x14ac:dyDescent="0.25">
      <c r="B109" s="105"/>
      <c r="C109" s="46" t="s">
        <v>66</v>
      </c>
      <c r="D109" s="385">
        <f>D108*$G$7</f>
        <v>0</v>
      </c>
      <c r="E109" s="385">
        <f t="shared" ref="E109" si="150">E108*$G$7</f>
        <v>0</v>
      </c>
      <c r="F109" s="385">
        <f t="shared" ref="F109" si="151">F108*$G$7</f>
        <v>0</v>
      </c>
      <c r="G109" s="385">
        <f t="shared" ref="G109" si="152">G108*$G$7</f>
        <v>0</v>
      </c>
      <c r="H109" s="385">
        <f t="shared" ref="H109" si="153">H108*$G$7</f>
        <v>0</v>
      </c>
      <c r="I109" s="385">
        <f t="shared" ref="I109" si="154">I108*$G$7</f>
        <v>0</v>
      </c>
      <c r="J109" s="385">
        <f t="shared" ref="J109" si="155">J108*$G$7</f>
        <v>0</v>
      </c>
      <c r="K109" s="385">
        <f t="shared" ref="K109" si="156">K108*$G$7</f>
        <v>0</v>
      </c>
      <c r="L109" s="385">
        <f t="shared" ref="L109" si="157">L108*$G$7</f>
        <v>0</v>
      </c>
      <c r="M109" s="385">
        <f t="shared" ref="M109" si="158">M108*$G$7</f>
        <v>0</v>
      </c>
      <c r="N109" s="385">
        <f t="shared" ref="N109" si="159">N108*$G$7</f>
        <v>0</v>
      </c>
      <c r="O109" s="385">
        <f t="shared" ref="O109" si="160">O108*$G$7</f>
        <v>0</v>
      </c>
      <c r="P109" s="366">
        <f t="shared" si="127"/>
        <v>0</v>
      </c>
    </row>
    <row r="110" spans="2:21" ht="14.65" customHeight="1" thickBot="1" x14ac:dyDescent="0.3">
      <c r="B110" s="105"/>
      <c r="C110" s="320" t="s">
        <v>67</v>
      </c>
      <c r="D110" s="378"/>
      <c r="E110" s="378"/>
      <c r="F110" s="378"/>
      <c r="G110" s="378"/>
      <c r="H110" s="378"/>
      <c r="I110" s="378"/>
      <c r="J110" s="378"/>
      <c r="K110" s="378"/>
      <c r="L110" s="378"/>
      <c r="M110" s="378"/>
      <c r="N110" s="378"/>
      <c r="O110" s="378"/>
      <c r="P110" s="365">
        <f>SUM(D110:O110)</f>
        <v>0</v>
      </c>
    </row>
    <row r="111" spans="2:21" ht="15.75" thickBot="1" x14ac:dyDescent="0.3">
      <c r="B111" s="105"/>
      <c r="C111" s="323" t="s">
        <v>68</v>
      </c>
      <c r="D111" s="380">
        <f>D106+D107+D103+D104+D109+D110+D100+D101</f>
        <v>0</v>
      </c>
      <c r="E111" s="380">
        <f t="shared" ref="E111:O111" si="161">E106+E107+E103+E104+E109+E110+E100+E101</f>
        <v>0</v>
      </c>
      <c r="F111" s="380">
        <f t="shared" si="161"/>
        <v>0</v>
      </c>
      <c r="G111" s="380">
        <f t="shared" si="161"/>
        <v>0</v>
      </c>
      <c r="H111" s="380">
        <f t="shared" si="161"/>
        <v>0</v>
      </c>
      <c r="I111" s="380">
        <f t="shared" si="161"/>
        <v>0</v>
      </c>
      <c r="J111" s="380">
        <f t="shared" si="161"/>
        <v>0</v>
      </c>
      <c r="K111" s="380">
        <f t="shared" si="161"/>
        <v>0</v>
      </c>
      <c r="L111" s="380">
        <f t="shared" si="161"/>
        <v>0</v>
      </c>
      <c r="M111" s="380">
        <f t="shared" si="161"/>
        <v>0</v>
      </c>
      <c r="N111" s="380">
        <f t="shared" si="161"/>
        <v>0</v>
      </c>
      <c r="O111" s="380">
        <f t="shared" si="161"/>
        <v>0</v>
      </c>
      <c r="P111" s="383">
        <f>SUM(D111:O111)</f>
        <v>0</v>
      </c>
    </row>
    <row r="112" spans="2:21" ht="15.75" x14ac:dyDescent="0.25">
      <c r="B112" s="105"/>
      <c r="C112" s="321" t="s">
        <v>69</v>
      </c>
      <c r="D112" s="369"/>
      <c r="E112" s="369"/>
      <c r="F112" s="369"/>
      <c r="G112" s="369"/>
      <c r="H112" s="369"/>
      <c r="I112" s="369"/>
      <c r="J112" s="369"/>
      <c r="K112" s="369"/>
      <c r="L112" s="369"/>
      <c r="M112" s="369"/>
      <c r="N112" s="369"/>
      <c r="O112" s="369"/>
      <c r="P112" s="382">
        <f t="shared" ref="P112:P119" si="162">SUM(D112:O112)</f>
        <v>0</v>
      </c>
      <c r="Q112" s="73"/>
    </row>
    <row r="113" spans="2:21" x14ac:dyDescent="0.25">
      <c r="B113" s="105"/>
      <c r="C113" s="92" t="s">
        <v>70</v>
      </c>
      <c r="D113" s="385">
        <f>D112*$G$8</f>
        <v>0</v>
      </c>
      <c r="E113" s="385">
        <f t="shared" ref="E113" si="163">E112*$G$8</f>
        <v>0</v>
      </c>
      <c r="F113" s="385">
        <f t="shared" ref="F113" si="164">F112*$G$8</f>
        <v>0</v>
      </c>
      <c r="G113" s="385">
        <f t="shared" ref="G113" si="165">G112*$G$8</f>
        <v>0</v>
      </c>
      <c r="H113" s="385">
        <f t="shared" ref="H113" si="166">H112*$G$8</f>
        <v>0</v>
      </c>
      <c r="I113" s="385">
        <f t="shared" ref="I113" si="167">I112*$G$8</f>
        <v>0</v>
      </c>
      <c r="J113" s="385">
        <f t="shared" ref="J113" si="168">J112*$G$8</f>
        <v>0</v>
      </c>
      <c r="K113" s="385">
        <f t="shared" ref="K113" si="169">K112*$G$8</f>
        <v>0</v>
      </c>
      <c r="L113" s="385">
        <f t="shared" ref="L113" si="170">L112*$G$8</f>
        <v>0</v>
      </c>
      <c r="M113" s="385">
        <f t="shared" ref="M113" si="171">M112*$G$8</f>
        <v>0</v>
      </c>
      <c r="N113" s="385">
        <f t="shared" ref="N113" si="172">N112*$G$8</f>
        <v>0</v>
      </c>
      <c r="O113" s="385">
        <f t="shared" ref="O113" si="173">O112*$G$8</f>
        <v>0</v>
      </c>
      <c r="P113" s="366">
        <f t="shared" si="162"/>
        <v>0</v>
      </c>
      <c r="Q113" s="73"/>
    </row>
    <row r="114" spans="2:21" ht="15.75" thickBot="1" x14ac:dyDescent="0.3">
      <c r="B114" s="105"/>
      <c r="C114" s="265" t="s">
        <v>71</v>
      </c>
      <c r="D114" s="378"/>
      <c r="E114" s="378"/>
      <c r="F114" s="378"/>
      <c r="G114" s="378"/>
      <c r="H114" s="378"/>
      <c r="I114" s="378"/>
      <c r="J114" s="378"/>
      <c r="K114" s="378"/>
      <c r="L114" s="378"/>
      <c r="M114" s="378"/>
      <c r="N114" s="378"/>
      <c r="O114" s="378"/>
      <c r="P114" s="365">
        <f>SUM(D114:O114)</f>
        <v>0</v>
      </c>
      <c r="Q114" s="73"/>
    </row>
    <row r="115" spans="2:21" ht="15.75" x14ac:dyDescent="0.25">
      <c r="B115" s="105"/>
      <c r="C115" s="321" t="s">
        <v>72</v>
      </c>
      <c r="D115" s="332"/>
      <c r="E115" s="332"/>
      <c r="F115" s="332"/>
      <c r="G115" s="332"/>
      <c r="H115" s="332"/>
      <c r="I115" s="332"/>
      <c r="J115" s="332"/>
      <c r="K115" s="332"/>
      <c r="L115" s="332"/>
      <c r="M115" s="332"/>
      <c r="N115" s="332"/>
      <c r="O115" s="332"/>
      <c r="P115" s="366">
        <f t="shared" si="162"/>
        <v>0</v>
      </c>
      <c r="Q115" s="73"/>
    </row>
    <row r="116" spans="2:21" ht="14.65" customHeight="1" x14ac:dyDescent="0.25">
      <c r="B116" s="105"/>
      <c r="C116" s="92" t="s">
        <v>73</v>
      </c>
      <c r="D116" s="385">
        <f t="shared" ref="D116:O116" si="174">D115*$G$8</f>
        <v>0</v>
      </c>
      <c r="E116" s="385">
        <f t="shared" si="174"/>
        <v>0</v>
      </c>
      <c r="F116" s="385">
        <f t="shared" si="174"/>
        <v>0</v>
      </c>
      <c r="G116" s="385">
        <f t="shared" si="174"/>
        <v>0</v>
      </c>
      <c r="H116" s="385">
        <f t="shared" si="174"/>
        <v>0</v>
      </c>
      <c r="I116" s="385">
        <f t="shared" si="174"/>
        <v>0</v>
      </c>
      <c r="J116" s="385">
        <f t="shared" si="174"/>
        <v>0</v>
      </c>
      <c r="K116" s="385">
        <f t="shared" si="174"/>
        <v>0</v>
      </c>
      <c r="L116" s="385">
        <f t="shared" si="174"/>
        <v>0</v>
      </c>
      <c r="M116" s="385">
        <f t="shared" si="174"/>
        <v>0</v>
      </c>
      <c r="N116" s="385">
        <f t="shared" si="174"/>
        <v>0</v>
      </c>
      <c r="O116" s="385">
        <f t="shared" si="174"/>
        <v>0</v>
      </c>
      <c r="P116" s="382">
        <f t="shared" si="162"/>
        <v>0</v>
      </c>
    </row>
    <row r="117" spans="2:21" ht="14.65" customHeight="1" thickBot="1" x14ac:dyDescent="0.3">
      <c r="B117" s="105"/>
      <c r="C117" s="265" t="s">
        <v>74</v>
      </c>
      <c r="D117" s="378"/>
      <c r="E117" s="378"/>
      <c r="F117" s="378"/>
      <c r="G117" s="378"/>
      <c r="H117" s="378"/>
      <c r="I117" s="378"/>
      <c r="J117" s="378"/>
      <c r="K117" s="378"/>
      <c r="L117" s="378"/>
      <c r="M117" s="378"/>
      <c r="N117" s="378"/>
      <c r="O117" s="378"/>
      <c r="P117" s="365">
        <f>SUM(D117:O117)</f>
        <v>0</v>
      </c>
    </row>
    <row r="118" spans="2:21" ht="14.65" customHeight="1" thickBot="1" x14ac:dyDescent="0.3">
      <c r="B118" s="105"/>
      <c r="C118" s="324" t="s">
        <v>75</v>
      </c>
      <c r="D118" s="380">
        <f>D113+D114+D116+D117</f>
        <v>0</v>
      </c>
      <c r="E118" s="380">
        <f t="shared" ref="E118:O118" si="175">E113+E114+E116+E117</f>
        <v>0</v>
      </c>
      <c r="F118" s="380">
        <f t="shared" si="175"/>
        <v>0</v>
      </c>
      <c r="G118" s="380">
        <f t="shared" si="175"/>
        <v>0</v>
      </c>
      <c r="H118" s="380">
        <f t="shared" si="175"/>
        <v>0</v>
      </c>
      <c r="I118" s="380">
        <f t="shared" si="175"/>
        <v>0</v>
      </c>
      <c r="J118" s="380">
        <f t="shared" si="175"/>
        <v>0</v>
      </c>
      <c r="K118" s="380">
        <f t="shared" si="175"/>
        <v>0</v>
      </c>
      <c r="L118" s="380">
        <f t="shared" si="175"/>
        <v>0</v>
      </c>
      <c r="M118" s="380">
        <f t="shared" si="175"/>
        <v>0</v>
      </c>
      <c r="N118" s="380">
        <f t="shared" si="175"/>
        <v>0</v>
      </c>
      <c r="O118" s="380">
        <f t="shared" si="175"/>
        <v>0</v>
      </c>
      <c r="P118" s="383">
        <f t="shared" si="162"/>
        <v>0</v>
      </c>
    </row>
    <row r="119" spans="2:21" ht="15.75" thickBot="1" x14ac:dyDescent="0.3">
      <c r="B119" s="105"/>
      <c r="C119" s="323" t="s">
        <v>76</v>
      </c>
      <c r="D119" s="386">
        <f t="shared" ref="D119:O119" si="176">D111+D118</f>
        <v>0</v>
      </c>
      <c r="E119" s="386">
        <f t="shared" si="176"/>
        <v>0</v>
      </c>
      <c r="F119" s="386">
        <f t="shared" si="176"/>
        <v>0</v>
      </c>
      <c r="G119" s="386">
        <f t="shared" si="176"/>
        <v>0</v>
      </c>
      <c r="H119" s="386">
        <f t="shared" si="176"/>
        <v>0</v>
      </c>
      <c r="I119" s="386">
        <f t="shared" si="176"/>
        <v>0</v>
      </c>
      <c r="J119" s="386">
        <f t="shared" si="176"/>
        <v>0</v>
      </c>
      <c r="K119" s="386">
        <f t="shared" si="176"/>
        <v>0</v>
      </c>
      <c r="L119" s="386">
        <f t="shared" si="176"/>
        <v>0</v>
      </c>
      <c r="M119" s="386">
        <f t="shared" si="176"/>
        <v>0</v>
      </c>
      <c r="N119" s="386">
        <f t="shared" si="176"/>
        <v>0</v>
      </c>
      <c r="O119" s="386">
        <f t="shared" si="176"/>
        <v>0</v>
      </c>
      <c r="P119" s="383">
        <f t="shared" si="162"/>
        <v>0</v>
      </c>
    </row>
    <row r="120" spans="2:21" x14ac:dyDescent="0.25">
      <c r="B120" s="105"/>
      <c r="C120" s="325" t="s">
        <v>359</v>
      </c>
      <c r="D120" s="513"/>
      <c r="E120" s="513"/>
      <c r="F120" s="513"/>
      <c r="G120" s="513"/>
      <c r="H120" s="513"/>
      <c r="I120" s="513"/>
      <c r="J120" s="513"/>
      <c r="K120" s="513"/>
      <c r="L120" s="513"/>
      <c r="M120" s="513"/>
      <c r="N120" s="513"/>
      <c r="O120" s="513"/>
      <c r="P120" s="350" t="e">
        <f>P119/b_2025</f>
        <v>#DIV/0!</v>
      </c>
    </row>
    <row r="121" spans="2:21" ht="15.75" thickBot="1" x14ac:dyDescent="0.3">
      <c r="B121" s="106"/>
      <c r="C121" s="163" t="s">
        <v>77</v>
      </c>
      <c r="D121" s="381" t="e">
        <f t="shared" ref="D121:P121" si="177">D111/D119</f>
        <v>#DIV/0!</v>
      </c>
      <c r="E121" s="381" t="e">
        <f t="shared" si="177"/>
        <v>#DIV/0!</v>
      </c>
      <c r="F121" s="381" t="e">
        <f t="shared" si="177"/>
        <v>#DIV/0!</v>
      </c>
      <c r="G121" s="381" t="e">
        <f t="shared" si="177"/>
        <v>#DIV/0!</v>
      </c>
      <c r="H121" s="381" t="e">
        <f t="shared" si="177"/>
        <v>#DIV/0!</v>
      </c>
      <c r="I121" s="381" t="e">
        <f t="shared" si="177"/>
        <v>#DIV/0!</v>
      </c>
      <c r="J121" s="381" t="e">
        <f t="shared" si="177"/>
        <v>#DIV/0!</v>
      </c>
      <c r="K121" s="381" t="e">
        <f t="shared" si="177"/>
        <v>#DIV/0!</v>
      </c>
      <c r="L121" s="381" t="e">
        <f t="shared" si="177"/>
        <v>#DIV/0!</v>
      </c>
      <c r="M121" s="381" t="e">
        <f t="shared" si="177"/>
        <v>#DIV/0!</v>
      </c>
      <c r="N121" s="381" t="e">
        <f t="shared" si="177"/>
        <v>#DIV/0!</v>
      </c>
      <c r="O121" s="381" t="e">
        <f t="shared" si="177"/>
        <v>#DIV/0!</v>
      </c>
      <c r="P121" s="384" t="e">
        <f t="shared" si="177"/>
        <v>#DIV/0!</v>
      </c>
      <c r="Q121" s="97"/>
    </row>
    <row r="122" spans="2:21" ht="14.65" customHeight="1" x14ac:dyDescent="0.25">
      <c r="B122" s="58"/>
      <c r="D122"/>
      <c r="E122"/>
      <c r="F122"/>
      <c r="G122"/>
      <c r="H122"/>
      <c r="I122"/>
      <c r="J122"/>
      <c r="K122"/>
      <c r="L122"/>
      <c r="M122"/>
      <c r="N122"/>
      <c r="O122"/>
      <c r="P122"/>
    </row>
    <row r="123" spans="2:21" ht="14.65" customHeight="1" thickBot="1" x14ac:dyDescent="0.3">
      <c r="B123" s="58"/>
      <c r="D123"/>
      <c r="E123"/>
      <c r="F123"/>
      <c r="G123"/>
      <c r="H123"/>
      <c r="I123"/>
      <c r="J123"/>
      <c r="K123"/>
      <c r="L123"/>
      <c r="M123"/>
      <c r="N123"/>
      <c r="O123"/>
      <c r="P123"/>
    </row>
    <row r="124" spans="2:21" x14ac:dyDescent="0.25">
      <c r="B124" s="603" t="s">
        <v>9</v>
      </c>
      <c r="C124" s="645" t="s">
        <v>10</v>
      </c>
      <c r="D124" s="642" t="s">
        <v>11</v>
      </c>
      <c r="E124" s="600" t="s">
        <v>12</v>
      </c>
      <c r="F124" s="600" t="s">
        <v>13</v>
      </c>
      <c r="G124" s="600" t="s">
        <v>14</v>
      </c>
      <c r="H124" s="600" t="s">
        <v>15</v>
      </c>
      <c r="I124" s="600" t="s">
        <v>16</v>
      </c>
      <c r="J124" s="600" t="s">
        <v>17</v>
      </c>
      <c r="K124" s="600" t="s">
        <v>18</v>
      </c>
      <c r="L124" s="600" t="s">
        <v>19</v>
      </c>
      <c r="M124" s="600" t="s">
        <v>20</v>
      </c>
      <c r="N124" s="600" t="s">
        <v>21</v>
      </c>
      <c r="O124" s="643" t="s">
        <v>22</v>
      </c>
      <c r="P124" s="603" t="s">
        <v>23</v>
      </c>
    </row>
    <row r="125" spans="2:21" ht="15.75" thickBot="1" x14ac:dyDescent="0.3">
      <c r="B125" s="605"/>
      <c r="C125" s="646"/>
      <c r="D125" s="628"/>
      <c r="E125" s="602"/>
      <c r="F125" s="602"/>
      <c r="G125" s="602"/>
      <c r="H125" s="602"/>
      <c r="I125" s="602"/>
      <c r="J125" s="602"/>
      <c r="K125" s="602"/>
      <c r="L125" s="602"/>
      <c r="M125" s="602"/>
      <c r="N125" s="602"/>
      <c r="O125" s="644"/>
      <c r="P125" s="605"/>
    </row>
    <row r="126" spans="2:21" ht="14.65" customHeight="1" x14ac:dyDescent="0.25">
      <c r="B126" s="104">
        <f>ÜLDANDMED!G10</f>
        <v>2026</v>
      </c>
      <c r="C126" s="110" t="s">
        <v>56</v>
      </c>
      <c r="D126" s="332"/>
      <c r="E126" s="332"/>
      <c r="F126" s="332"/>
      <c r="G126" s="332"/>
      <c r="H126" s="332"/>
      <c r="I126" s="332"/>
      <c r="J126" s="332"/>
      <c r="K126" s="332"/>
      <c r="L126" s="332"/>
      <c r="M126" s="332"/>
      <c r="N126" s="332"/>
      <c r="O126" s="332"/>
      <c r="P126" s="366">
        <f>SUM(D126:O126)</f>
        <v>0</v>
      </c>
    </row>
    <row r="127" spans="2:21" s="2" customFormat="1" ht="14.65" customHeight="1" x14ac:dyDescent="0.2">
      <c r="B127" s="77"/>
      <c r="C127" s="46" t="s">
        <v>57</v>
      </c>
      <c r="D127" s="385">
        <f>D126*$G$4</f>
        <v>0</v>
      </c>
      <c r="E127" s="385">
        <f t="shared" ref="E127" si="178">E126*$G$4</f>
        <v>0</v>
      </c>
      <c r="F127" s="385">
        <f t="shared" ref="F127" si="179">F126*$G$4</f>
        <v>0</v>
      </c>
      <c r="G127" s="385">
        <f t="shared" ref="G127" si="180">G126*$G$4</f>
        <v>0</v>
      </c>
      <c r="H127" s="385">
        <f t="shared" ref="H127" si="181">H126*$G$4</f>
        <v>0</v>
      </c>
      <c r="I127" s="385">
        <f t="shared" ref="I127" si="182">I126*$G$4</f>
        <v>0</v>
      </c>
      <c r="J127" s="385">
        <f t="shared" ref="J127" si="183">J126*$G$4</f>
        <v>0</v>
      </c>
      <c r="K127" s="385">
        <f t="shared" ref="K127" si="184">K126*$G$4</f>
        <v>0</v>
      </c>
      <c r="L127" s="385">
        <f t="shared" ref="L127" si="185">L126*$G$4</f>
        <v>0</v>
      </c>
      <c r="M127" s="385">
        <f t="shared" ref="M127" si="186">M126*$G$4</f>
        <v>0</v>
      </c>
      <c r="N127" s="385">
        <f t="shared" ref="N127" si="187">N126*$G$4</f>
        <v>0</v>
      </c>
      <c r="O127" s="385">
        <f t="shared" ref="O127" si="188">O126*$G$4</f>
        <v>0</v>
      </c>
      <c r="P127" s="366">
        <f>SUM(D127:O127)</f>
        <v>0</v>
      </c>
    </row>
    <row r="128" spans="2:21" s="2" customFormat="1" ht="14.65" customHeight="1" thickBot="1" x14ac:dyDescent="0.3">
      <c r="B128" s="105"/>
      <c r="C128" s="320" t="s">
        <v>58</v>
      </c>
      <c r="D128" s="378"/>
      <c r="E128" s="378"/>
      <c r="F128" s="378"/>
      <c r="G128" s="378"/>
      <c r="H128" s="378"/>
      <c r="I128" s="378"/>
      <c r="J128" s="378"/>
      <c r="K128" s="378"/>
      <c r="L128" s="378"/>
      <c r="M128" s="378"/>
      <c r="N128" s="378"/>
      <c r="O128" s="378"/>
      <c r="P128" s="365">
        <f>SUM(D128:O128)</f>
        <v>0</v>
      </c>
      <c r="R128"/>
      <c r="S128"/>
      <c r="T128"/>
      <c r="U128"/>
    </row>
    <row r="129" spans="2:21" s="2" customFormat="1" ht="14.65" customHeight="1" x14ac:dyDescent="0.25">
      <c r="B129" s="105"/>
      <c r="C129" s="110" t="s">
        <v>59</v>
      </c>
      <c r="D129" s="332"/>
      <c r="E129" s="332"/>
      <c r="F129" s="332"/>
      <c r="G129" s="332"/>
      <c r="H129" s="332"/>
      <c r="I129" s="332"/>
      <c r="J129" s="332"/>
      <c r="K129" s="332"/>
      <c r="L129" s="332"/>
      <c r="M129" s="332"/>
      <c r="N129" s="332"/>
      <c r="O129" s="332"/>
      <c r="P129" s="366">
        <f t="shared" ref="P129:P136" si="189">SUM(D129:O129)</f>
        <v>0</v>
      </c>
      <c r="R129"/>
      <c r="S129"/>
      <c r="T129"/>
      <c r="U129"/>
    </row>
    <row r="130" spans="2:21" s="2" customFormat="1" ht="14.65" customHeight="1" x14ac:dyDescent="0.25">
      <c r="B130" s="87"/>
      <c r="C130" s="46" t="s">
        <v>60</v>
      </c>
      <c r="D130" s="385">
        <f>D129*$G$5</f>
        <v>0</v>
      </c>
      <c r="E130" s="385">
        <f t="shared" ref="E130" si="190">E129*$G$5</f>
        <v>0</v>
      </c>
      <c r="F130" s="385">
        <f t="shared" ref="F130" si="191">F129*$G$5</f>
        <v>0</v>
      </c>
      <c r="G130" s="385">
        <f t="shared" ref="G130" si="192">G129*$G$5</f>
        <v>0</v>
      </c>
      <c r="H130" s="385">
        <f t="shared" ref="H130" si="193">H129*$G$5</f>
        <v>0</v>
      </c>
      <c r="I130" s="385">
        <f t="shared" ref="I130" si="194">I129*$G$5</f>
        <v>0</v>
      </c>
      <c r="J130" s="385">
        <f t="shared" ref="J130" si="195">J129*$G$5</f>
        <v>0</v>
      </c>
      <c r="K130" s="385">
        <f t="shared" ref="K130" si="196">K129*$G$5</f>
        <v>0</v>
      </c>
      <c r="L130" s="385">
        <f t="shared" ref="L130" si="197">L129*$G$5</f>
        <v>0</v>
      </c>
      <c r="M130" s="385">
        <f t="shared" ref="M130" si="198">M129*$G$5</f>
        <v>0</v>
      </c>
      <c r="N130" s="385">
        <f t="shared" ref="N130" si="199">N129*$G$5</f>
        <v>0</v>
      </c>
      <c r="O130" s="385">
        <f t="shared" ref="O130" si="200">O129*$G$5</f>
        <v>0</v>
      </c>
      <c r="P130" s="366">
        <f t="shared" si="189"/>
        <v>0</v>
      </c>
      <c r="R130"/>
      <c r="S130"/>
      <c r="T130"/>
      <c r="U130"/>
    </row>
    <row r="131" spans="2:21" s="2" customFormat="1" ht="14.65" customHeight="1" thickBot="1" x14ac:dyDescent="0.3">
      <c r="B131" s="105"/>
      <c r="C131" s="320" t="s">
        <v>61</v>
      </c>
      <c r="D131" s="378"/>
      <c r="E131" s="378"/>
      <c r="F131" s="378"/>
      <c r="G131" s="378"/>
      <c r="H131" s="378"/>
      <c r="I131" s="378"/>
      <c r="J131" s="378"/>
      <c r="K131" s="378"/>
      <c r="L131" s="378"/>
      <c r="M131" s="378"/>
      <c r="N131" s="378"/>
      <c r="O131" s="378"/>
      <c r="P131" s="365">
        <f>SUM(D131:O131)</f>
        <v>0</v>
      </c>
      <c r="R131"/>
      <c r="S131"/>
      <c r="T131"/>
      <c r="U131"/>
    </row>
    <row r="132" spans="2:21" ht="14.65" customHeight="1" x14ac:dyDescent="0.25">
      <c r="B132" s="86"/>
      <c r="C132" s="110" t="s">
        <v>62</v>
      </c>
      <c r="D132" s="332"/>
      <c r="E132" s="332"/>
      <c r="F132" s="332"/>
      <c r="G132" s="332"/>
      <c r="H132" s="332"/>
      <c r="I132" s="332"/>
      <c r="J132" s="332"/>
      <c r="K132" s="332"/>
      <c r="L132" s="332"/>
      <c r="M132" s="332"/>
      <c r="N132" s="332"/>
      <c r="O132" s="332"/>
      <c r="P132" s="366">
        <f t="shared" si="189"/>
        <v>0</v>
      </c>
    </row>
    <row r="133" spans="2:21" ht="14.65" customHeight="1" x14ac:dyDescent="0.25">
      <c r="B133" s="77"/>
      <c r="C133" s="46" t="s">
        <v>63</v>
      </c>
      <c r="D133" s="385">
        <f>D132*$G$6</f>
        <v>0</v>
      </c>
      <c r="E133" s="385">
        <f t="shared" ref="E133" si="201">E132*$G$6</f>
        <v>0</v>
      </c>
      <c r="F133" s="385">
        <f t="shared" ref="F133" si="202">F132*$G$6</f>
        <v>0</v>
      </c>
      <c r="G133" s="385">
        <f t="shared" ref="G133" si="203">G132*$G$6</f>
        <v>0</v>
      </c>
      <c r="H133" s="385">
        <f t="shared" ref="H133" si="204">H132*$G$6</f>
        <v>0</v>
      </c>
      <c r="I133" s="385">
        <f t="shared" ref="I133" si="205">I132*$G$6</f>
        <v>0</v>
      </c>
      <c r="J133" s="385">
        <f t="shared" ref="J133" si="206">J132*$G$6</f>
        <v>0</v>
      </c>
      <c r="K133" s="385">
        <f t="shared" ref="K133" si="207">K132*$G$6</f>
        <v>0</v>
      </c>
      <c r="L133" s="385">
        <f t="shared" ref="L133" si="208">L132*$G$6</f>
        <v>0</v>
      </c>
      <c r="M133" s="385">
        <f t="shared" ref="M133" si="209">M132*$G$6</f>
        <v>0</v>
      </c>
      <c r="N133" s="385">
        <f t="shared" ref="N133" si="210">N132*$G$6</f>
        <v>0</v>
      </c>
      <c r="O133" s="385">
        <f t="shared" ref="O133" si="211">O132*$G$6</f>
        <v>0</v>
      </c>
      <c r="P133" s="366">
        <f t="shared" si="189"/>
        <v>0</v>
      </c>
    </row>
    <row r="134" spans="2:21" ht="14.65" customHeight="1" thickBot="1" x14ac:dyDescent="0.3">
      <c r="B134" s="105"/>
      <c r="C134" s="320" t="s">
        <v>64</v>
      </c>
      <c r="D134" s="378"/>
      <c r="E134" s="378"/>
      <c r="F134" s="378"/>
      <c r="G134" s="378"/>
      <c r="H134" s="378"/>
      <c r="I134" s="378"/>
      <c r="J134" s="378"/>
      <c r="K134" s="378"/>
      <c r="L134" s="378"/>
      <c r="M134" s="378"/>
      <c r="N134" s="378"/>
      <c r="O134" s="378"/>
      <c r="P134" s="365">
        <f>SUM(D134:O134)</f>
        <v>0</v>
      </c>
    </row>
    <row r="135" spans="2:21" ht="14.65" customHeight="1" x14ac:dyDescent="0.25">
      <c r="B135" s="77"/>
      <c r="C135" s="110" t="s">
        <v>65</v>
      </c>
      <c r="D135" s="332"/>
      <c r="E135" s="332"/>
      <c r="F135" s="332"/>
      <c r="G135" s="332"/>
      <c r="H135" s="332"/>
      <c r="I135" s="332"/>
      <c r="J135" s="332"/>
      <c r="K135" s="332"/>
      <c r="L135" s="332"/>
      <c r="M135" s="332"/>
      <c r="N135" s="332"/>
      <c r="O135" s="332"/>
      <c r="P135" s="366">
        <f t="shared" si="189"/>
        <v>0</v>
      </c>
    </row>
    <row r="136" spans="2:21" ht="14.65" customHeight="1" x14ac:dyDescent="0.25">
      <c r="B136" s="77"/>
      <c r="C136" s="46" t="s">
        <v>66</v>
      </c>
      <c r="D136" s="385">
        <f>D135*$G$7</f>
        <v>0</v>
      </c>
      <c r="E136" s="385">
        <f t="shared" ref="E136" si="212">E135*$G$7</f>
        <v>0</v>
      </c>
      <c r="F136" s="385">
        <f t="shared" ref="F136" si="213">F135*$G$7</f>
        <v>0</v>
      </c>
      <c r="G136" s="385">
        <f t="shared" ref="G136" si="214">G135*$G$7</f>
        <v>0</v>
      </c>
      <c r="H136" s="385">
        <f t="shared" ref="H136" si="215">H135*$G$7</f>
        <v>0</v>
      </c>
      <c r="I136" s="385">
        <f t="shared" ref="I136" si="216">I135*$G$7</f>
        <v>0</v>
      </c>
      <c r="J136" s="385">
        <f t="shared" ref="J136" si="217">J135*$G$7</f>
        <v>0</v>
      </c>
      <c r="K136" s="385">
        <f t="shared" ref="K136" si="218">K135*$G$7</f>
        <v>0</v>
      </c>
      <c r="L136" s="385">
        <f t="shared" ref="L136" si="219">L135*$G$7</f>
        <v>0</v>
      </c>
      <c r="M136" s="385">
        <f t="shared" ref="M136" si="220">M135*$G$7</f>
        <v>0</v>
      </c>
      <c r="N136" s="385">
        <f t="shared" ref="N136" si="221">N135*$G$7</f>
        <v>0</v>
      </c>
      <c r="O136" s="385">
        <f t="shared" ref="O136" si="222">O135*$G$7</f>
        <v>0</v>
      </c>
      <c r="P136" s="366">
        <f t="shared" si="189"/>
        <v>0</v>
      </c>
    </row>
    <row r="137" spans="2:21" ht="14.65" customHeight="1" thickBot="1" x14ac:dyDescent="0.3">
      <c r="B137" s="105"/>
      <c r="C137" s="320" t="s">
        <v>67</v>
      </c>
      <c r="D137" s="378"/>
      <c r="E137" s="378"/>
      <c r="F137" s="378"/>
      <c r="G137" s="378"/>
      <c r="H137" s="378"/>
      <c r="I137" s="378"/>
      <c r="J137" s="378"/>
      <c r="K137" s="378"/>
      <c r="L137" s="378"/>
      <c r="M137" s="378"/>
      <c r="N137" s="378"/>
      <c r="O137" s="378"/>
      <c r="P137" s="365">
        <f>SUM(D137:O137)</f>
        <v>0</v>
      </c>
    </row>
    <row r="138" spans="2:21" ht="15.75" thickBot="1" x14ac:dyDescent="0.3">
      <c r="B138" s="77"/>
      <c r="C138" s="323" t="s">
        <v>68</v>
      </c>
      <c r="D138" s="380">
        <f>D133+D134+D130+D131+D136+D137+D127+D128</f>
        <v>0</v>
      </c>
      <c r="E138" s="380">
        <f t="shared" ref="E138:O138" si="223">E133+E134+E130+E131+E136+E137+E127+E128</f>
        <v>0</v>
      </c>
      <c r="F138" s="380">
        <f t="shared" si="223"/>
        <v>0</v>
      </c>
      <c r="G138" s="380">
        <f t="shared" si="223"/>
        <v>0</v>
      </c>
      <c r="H138" s="380">
        <f t="shared" si="223"/>
        <v>0</v>
      </c>
      <c r="I138" s="380">
        <f t="shared" si="223"/>
        <v>0</v>
      </c>
      <c r="J138" s="380">
        <f t="shared" si="223"/>
        <v>0</v>
      </c>
      <c r="K138" s="380">
        <f t="shared" si="223"/>
        <v>0</v>
      </c>
      <c r="L138" s="380">
        <f t="shared" si="223"/>
        <v>0</v>
      </c>
      <c r="M138" s="380">
        <f t="shared" si="223"/>
        <v>0</v>
      </c>
      <c r="N138" s="380">
        <f t="shared" si="223"/>
        <v>0</v>
      </c>
      <c r="O138" s="380">
        <f t="shared" si="223"/>
        <v>0</v>
      </c>
      <c r="P138" s="383">
        <f>SUM(D138:O138)</f>
        <v>0</v>
      </c>
    </row>
    <row r="139" spans="2:21" ht="15.75" x14ac:dyDescent="0.25">
      <c r="B139" s="105"/>
      <c r="C139" s="321" t="s">
        <v>69</v>
      </c>
      <c r="D139" s="369"/>
      <c r="E139" s="369"/>
      <c r="F139" s="369"/>
      <c r="G139" s="369"/>
      <c r="H139" s="369"/>
      <c r="I139" s="369"/>
      <c r="J139" s="369"/>
      <c r="K139" s="369"/>
      <c r="L139" s="369"/>
      <c r="M139" s="369"/>
      <c r="N139" s="369"/>
      <c r="O139" s="369"/>
      <c r="P139" s="382">
        <f t="shared" ref="P139:P146" si="224">SUM(D139:O139)</f>
        <v>0</v>
      </c>
      <c r="Q139" s="73"/>
    </row>
    <row r="140" spans="2:21" x14ac:dyDescent="0.25">
      <c r="B140" s="105"/>
      <c r="C140" s="92" t="s">
        <v>70</v>
      </c>
      <c r="D140" s="385">
        <f>D139*$G$8</f>
        <v>0</v>
      </c>
      <c r="E140" s="385">
        <f t="shared" ref="E140" si="225">E139*$G$8</f>
        <v>0</v>
      </c>
      <c r="F140" s="385">
        <f t="shared" ref="F140" si="226">F139*$G$8</f>
        <v>0</v>
      </c>
      <c r="G140" s="385">
        <f t="shared" ref="G140" si="227">G139*$G$8</f>
        <v>0</v>
      </c>
      <c r="H140" s="385">
        <f t="shared" ref="H140" si="228">H139*$G$8</f>
        <v>0</v>
      </c>
      <c r="I140" s="385">
        <f t="shared" ref="I140" si="229">I139*$G$8</f>
        <v>0</v>
      </c>
      <c r="J140" s="385">
        <f t="shared" ref="J140" si="230">J139*$G$8</f>
        <v>0</v>
      </c>
      <c r="K140" s="385">
        <f t="shared" ref="K140" si="231">K139*$G$8</f>
        <v>0</v>
      </c>
      <c r="L140" s="385">
        <f t="shared" ref="L140" si="232">L139*$G$8</f>
        <v>0</v>
      </c>
      <c r="M140" s="385">
        <f t="shared" ref="M140" si="233">M139*$G$8</f>
        <v>0</v>
      </c>
      <c r="N140" s="385">
        <f t="shared" ref="N140" si="234">N139*$G$8</f>
        <v>0</v>
      </c>
      <c r="O140" s="385">
        <f t="shared" ref="O140" si="235">O139*$G$8</f>
        <v>0</v>
      </c>
      <c r="P140" s="366">
        <f t="shared" si="224"/>
        <v>0</v>
      </c>
      <c r="Q140" s="73"/>
    </row>
    <row r="141" spans="2:21" ht="15.75" thickBot="1" x14ac:dyDescent="0.3">
      <c r="B141" s="105"/>
      <c r="C141" s="265" t="s">
        <v>71</v>
      </c>
      <c r="D141" s="378"/>
      <c r="E141" s="378"/>
      <c r="F141" s="378"/>
      <c r="G141" s="378"/>
      <c r="H141" s="378"/>
      <c r="I141" s="378"/>
      <c r="J141" s="378"/>
      <c r="K141" s="378"/>
      <c r="L141" s="378"/>
      <c r="M141" s="378"/>
      <c r="N141" s="378"/>
      <c r="O141" s="378"/>
      <c r="P141" s="365">
        <f>SUM(D141:O141)</f>
        <v>0</v>
      </c>
      <c r="Q141" s="73"/>
    </row>
    <row r="142" spans="2:21" ht="15.75" x14ac:dyDescent="0.25">
      <c r="B142" s="105"/>
      <c r="C142" s="321" t="s">
        <v>72</v>
      </c>
      <c r="D142" s="332"/>
      <c r="E142" s="332"/>
      <c r="F142" s="332"/>
      <c r="G142" s="332"/>
      <c r="H142" s="332"/>
      <c r="I142" s="332"/>
      <c r="J142" s="332"/>
      <c r="K142" s="332"/>
      <c r="L142" s="332"/>
      <c r="M142" s="332"/>
      <c r="N142" s="332"/>
      <c r="O142" s="332"/>
      <c r="P142" s="366">
        <f t="shared" si="224"/>
        <v>0</v>
      </c>
      <c r="Q142" s="73"/>
    </row>
    <row r="143" spans="2:21" ht="14.65" customHeight="1" x14ac:dyDescent="0.25">
      <c r="B143" s="77"/>
      <c r="C143" s="92" t="s">
        <v>73</v>
      </c>
      <c r="D143" s="385">
        <f>D142*$G$8</f>
        <v>0</v>
      </c>
      <c r="E143" s="385">
        <f t="shared" ref="E143" si="236">E142*$G$8</f>
        <v>0</v>
      </c>
      <c r="F143" s="385">
        <f t="shared" ref="F143" si="237">F142*$G$8</f>
        <v>0</v>
      </c>
      <c r="G143" s="385">
        <f t="shared" ref="G143" si="238">G142*$G$8</f>
        <v>0</v>
      </c>
      <c r="H143" s="385">
        <f t="shared" ref="H143" si="239">H142*$G$8</f>
        <v>0</v>
      </c>
      <c r="I143" s="385">
        <f t="shared" ref="I143" si="240">I142*$G$8</f>
        <v>0</v>
      </c>
      <c r="J143" s="385">
        <f t="shared" ref="J143" si="241">J142*$G$8</f>
        <v>0</v>
      </c>
      <c r="K143" s="385">
        <f t="shared" ref="K143" si="242">K142*$G$8</f>
        <v>0</v>
      </c>
      <c r="L143" s="385">
        <f t="shared" ref="L143" si="243">L142*$G$8</f>
        <v>0</v>
      </c>
      <c r="M143" s="385">
        <f t="shared" ref="M143" si="244">M142*$G$8</f>
        <v>0</v>
      </c>
      <c r="N143" s="385">
        <f t="shared" ref="N143" si="245">N142*$G$8</f>
        <v>0</v>
      </c>
      <c r="O143" s="385">
        <f t="shared" ref="O143" si="246">O142*$G$8</f>
        <v>0</v>
      </c>
      <c r="P143" s="382">
        <f t="shared" si="224"/>
        <v>0</v>
      </c>
    </row>
    <row r="144" spans="2:21" ht="14.65" customHeight="1" thickBot="1" x14ac:dyDescent="0.3">
      <c r="B144" s="105"/>
      <c r="C144" s="265" t="s">
        <v>74</v>
      </c>
      <c r="D144" s="378"/>
      <c r="E144" s="378"/>
      <c r="F144" s="378"/>
      <c r="G144" s="378"/>
      <c r="H144" s="378"/>
      <c r="I144" s="378"/>
      <c r="J144" s="378"/>
      <c r="K144" s="378"/>
      <c r="L144" s="378"/>
      <c r="M144" s="378"/>
      <c r="N144" s="378"/>
      <c r="O144" s="378"/>
      <c r="P144" s="365">
        <f>SUM(D144:O144)</f>
        <v>0</v>
      </c>
    </row>
    <row r="145" spans="2:21" ht="14.65" customHeight="1" thickBot="1" x14ac:dyDescent="0.3">
      <c r="B145" s="77"/>
      <c r="C145" s="324" t="s">
        <v>75</v>
      </c>
      <c r="D145" s="380">
        <f>D140+D141+D143+D144</f>
        <v>0</v>
      </c>
      <c r="E145" s="380">
        <f t="shared" ref="E145:O145" si="247">E140+E141+E143+E144</f>
        <v>0</v>
      </c>
      <c r="F145" s="380">
        <f t="shared" si="247"/>
        <v>0</v>
      </c>
      <c r="G145" s="380">
        <f t="shared" si="247"/>
        <v>0</v>
      </c>
      <c r="H145" s="380">
        <f t="shared" si="247"/>
        <v>0</v>
      </c>
      <c r="I145" s="380">
        <f t="shared" si="247"/>
        <v>0</v>
      </c>
      <c r="J145" s="380">
        <f t="shared" si="247"/>
        <v>0</v>
      </c>
      <c r="K145" s="380">
        <f t="shared" si="247"/>
        <v>0</v>
      </c>
      <c r="L145" s="380">
        <f t="shared" si="247"/>
        <v>0</v>
      </c>
      <c r="M145" s="380">
        <f t="shared" si="247"/>
        <v>0</v>
      </c>
      <c r="N145" s="380">
        <f t="shared" si="247"/>
        <v>0</v>
      </c>
      <c r="O145" s="380">
        <f t="shared" si="247"/>
        <v>0</v>
      </c>
      <c r="P145" s="383">
        <f t="shared" si="224"/>
        <v>0</v>
      </c>
    </row>
    <row r="146" spans="2:21" ht="15.75" thickBot="1" x14ac:dyDescent="0.3">
      <c r="B146" s="77"/>
      <c r="C146" s="323" t="s">
        <v>76</v>
      </c>
      <c r="D146" s="386">
        <f t="shared" ref="D146:O146" si="248">D138+D145</f>
        <v>0</v>
      </c>
      <c r="E146" s="386">
        <f t="shared" si="248"/>
        <v>0</v>
      </c>
      <c r="F146" s="386">
        <f t="shared" si="248"/>
        <v>0</v>
      </c>
      <c r="G146" s="386">
        <f t="shared" si="248"/>
        <v>0</v>
      </c>
      <c r="H146" s="386">
        <f t="shared" si="248"/>
        <v>0</v>
      </c>
      <c r="I146" s="386">
        <f t="shared" si="248"/>
        <v>0</v>
      </c>
      <c r="J146" s="386">
        <f t="shared" si="248"/>
        <v>0</v>
      </c>
      <c r="K146" s="386">
        <f t="shared" si="248"/>
        <v>0</v>
      </c>
      <c r="L146" s="386">
        <f t="shared" si="248"/>
        <v>0</v>
      </c>
      <c r="M146" s="386">
        <f t="shared" si="248"/>
        <v>0</v>
      </c>
      <c r="N146" s="386">
        <f t="shared" si="248"/>
        <v>0</v>
      </c>
      <c r="O146" s="386">
        <f t="shared" si="248"/>
        <v>0</v>
      </c>
      <c r="P146" s="383">
        <f t="shared" si="224"/>
        <v>0</v>
      </c>
    </row>
    <row r="147" spans="2:21" x14ac:dyDescent="0.25">
      <c r="B147" s="77"/>
      <c r="C147" s="325" t="s">
        <v>359</v>
      </c>
      <c r="D147" s="513"/>
      <c r="E147" s="513"/>
      <c r="F147" s="513"/>
      <c r="G147" s="513"/>
      <c r="H147" s="513"/>
      <c r="I147" s="513"/>
      <c r="J147" s="513"/>
      <c r="K147" s="513"/>
      <c r="L147" s="513"/>
      <c r="M147" s="513"/>
      <c r="N147" s="513"/>
      <c r="O147" s="513"/>
      <c r="P147" s="350" t="e">
        <f>P146/b_2026</f>
        <v>#DIV/0!</v>
      </c>
    </row>
    <row r="148" spans="2:21" ht="15.75" thickBot="1" x14ac:dyDescent="0.3">
      <c r="B148" s="91"/>
      <c r="C148" s="163" t="s">
        <v>77</v>
      </c>
      <c r="D148" s="381" t="e">
        <f t="shared" ref="D148:P148" si="249">D138/D146</f>
        <v>#DIV/0!</v>
      </c>
      <c r="E148" s="381" t="e">
        <f t="shared" si="249"/>
        <v>#DIV/0!</v>
      </c>
      <c r="F148" s="381" t="e">
        <f t="shared" si="249"/>
        <v>#DIV/0!</v>
      </c>
      <c r="G148" s="381" t="e">
        <f t="shared" si="249"/>
        <v>#DIV/0!</v>
      </c>
      <c r="H148" s="381" t="e">
        <f t="shared" si="249"/>
        <v>#DIV/0!</v>
      </c>
      <c r="I148" s="381" t="e">
        <f t="shared" si="249"/>
        <v>#DIV/0!</v>
      </c>
      <c r="J148" s="381" t="e">
        <f t="shared" si="249"/>
        <v>#DIV/0!</v>
      </c>
      <c r="K148" s="381" t="e">
        <f t="shared" si="249"/>
        <v>#DIV/0!</v>
      </c>
      <c r="L148" s="381" t="e">
        <f t="shared" si="249"/>
        <v>#DIV/0!</v>
      </c>
      <c r="M148" s="381" t="e">
        <f t="shared" si="249"/>
        <v>#DIV/0!</v>
      </c>
      <c r="N148" s="381" t="e">
        <f t="shared" si="249"/>
        <v>#DIV/0!</v>
      </c>
      <c r="O148" s="381" t="e">
        <f t="shared" si="249"/>
        <v>#DIV/0!</v>
      </c>
      <c r="P148" s="384" t="e">
        <f t="shared" si="249"/>
        <v>#DIV/0!</v>
      </c>
      <c r="Q148" s="97"/>
    </row>
    <row r="149" spans="2:21" ht="14.65" customHeight="1" x14ac:dyDescent="0.25">
      <c r="B149" s="58"/>
      <c r="D149"/>
      <c r="E149"/>
      <c r="F149"/>
      <c r="G149"/>
      <c r="H149"/>
      <c r="I149"/>
      <c r="J149"/>
      <c r="K149"/>
      <c r="L149"/>
      <c r="M149"/>
      <c r="N149"/>
      <c r="O149"/>
      <c r="P149"/>
    </row>
    <row r="150" spans="2:21" ht="14.65" customHeight="1" thickBot="1" x14ac:dyDescent="0.3">
      <c r="B150" s="58"/>
      <c r="D150"/>
      <c r="E150"/>
      <c r="F150"/>
      <c r="G150"/>
      <c r="H150"/>
      <c r="I150"/>
      <c r="J150"/>
      <c r="K150"/>
      <c r="L150"/>
      <c r="M150"/>
      <c r="N150"/>
      <c r="O150"/>
      <c r="P150"/>
    </row>
    <row r="151" spans="2:21" x14ac:dyDescent="0.25">
      <c r="B151" s="603" t="s">
        <v>9</v>
      </c>
      <c r="C151" s="645" t="s">
        <v>10</v>
      </c>
      <c r="D151" s="642" t="s">
        <v>11</v>
      </c>
      <c r="E151" s="600" t="s">
        <v>12</v>
      </c>
      <c r="F151" s="600" t="s">
        <v>13</v>
      </c>
      <c r="G151" s="600" t="s">
        <v>14</v>
      </c>
      <c r="H151" s="600" t="s">
        <v>15</v>
      </c>
      <c r="I151" s="600" t="s">
        <v>16</v>
      </c>
      <c r="J151" s="600" t="s">
        <v>17</v>
      </c>
      <c r="K151" s="600" t="s">
        <v>18</v>
      </c>
      <c r="L151" s="600" t="s">
        <v>19</v>
      </c>
      <c r="M151" s="600" t="s">
        <v>20</v>
      </c>
      <c r="N151" s="600" t="s">
        <v>21</v>
      </c>
      <c r="O151" s="643" t="s">
        <v>22</v>
      </c>
      <c r="P151" s="603" t="s">
        <v>23</v>
      </c>
    </row>
    <row r="152" spans="2:21" ht="15.75" thickBot="1" x14ac:dyDescent="0.3">
      <c r="B152" s="605"/>
      <c r="C152" s="646"/>
      <c r="D152" s="628"/>
      <c r="E152" s="602"/>
      <c r="F152" s="602"/>
      <c r="G152" s="602"/>
      <c r="H152" s="602"/>
      <c r="I152" s="602"/>
      <c r="J152" s="602"/>
      <c r="K152" s="602"/>
      <c r="L152" s="602"/>
      <c r="M152" s="602"/>
      <c r="N152" s="602"/>
      <c r="O152" s="644"/>
      <c r="P152" s="605"/>
    </row>
    <row r="153" spans="2:21" ht="14.65" customHeight="1" x14ac:dyDescent="0.25">
      <c r="B153" s="104">
        <f>ÜLDANDMED!H10</f>
        <v>2027</v>
      </c>
      <c r="C153" s="110" t="s">
        <v>56</v>
      </c>
      <c r="D153" s="332"/>
      <c r="E153" s="332"/>
      <c r="F153" s="332"/>
      <c r="G153" s="332"/>
      <c r="H153" s="332"/>
      <c r="I153" s="332"/>
      <c r="J153" s="332"/>
      <c r="K153" s="332"/>
      <c r="L153" s="332"/>
      <c r="M153" s="332"/>
      <c r="N153" s="332"/>
      <c r="O153" s="332"/>
      <c r="P153" s="366">
        <f>SUM(D153:O153)</f>
        <v>0</v>
      </c>
    </row>
    <row r="154" spans="2:21" s="2" customFormat="1" ht="14.65" customHeight="1" x14ac:dyDescent="0.2">
      <c r="B154" s="77"/>
      <c r="C154" s="46" t="s">
        <v>57</v>
      </c>
      <c r="D154" s="385">
        <f>D153*$G$4</f>
        <v>0</v>
      </c>
      <c r="E154" s="385">
        <f t="shared" ref="E154" si="250">E153*$G$4</f>
        <v>0</v>
      </c>
      <c r="F154" s="385">
        <f t="shared" ref="F154" si="251">F153*$G$4</f>
        <v>0</v>
      </c>
      <c r="G154" s="385">
        <f t="shared" ref="G154" si="252">G153*$G$4</f>
        <v>0</v>
      </c>
      <c r="H154" s="385">
        <f t="shared" ref="H154" si="253">H153*$G$4</f>
        <v>0</v>
      </c>
      <c r="I154" s="385">
        <f t="shared" ref="I154" si="254">I153*$G$4</f>
        <v>0</v>
      </c>
      <c r="J154" s="385">
        <f t="shared" ref="J154" si="255">J153*$G$4</f>
        <v>0</v>
      </c>
      <c r="K154" s="385">
        <f t="shared" ref="K154" si="256">K153*$G$4</f>
        <v>0</v>
      </c>
      <c r="L154" s="385">
        <f t="shared" ref="L154" si="257">L153*$G$4</f>
        <v>0</v>
      </c>
      <c r="M154" s="385">
        <f t="shared" ref="M154" si="258">M153*$G$4</f>
        <v>0</v>
      </c>
      <c r="N154" s="385">
        <f t="shared" ref="N154" si="259">N153*$G$4</f>
        <v>0</v>
      </c>
      <c r="O154" s="385">
        <f t="shared" ref="O154" si="260">O153*$G$4</f>
        <v>0</v>
      </c>
      <c r="P154" s="366">
        <f>SUM(D154:O154)</f>
        <v>0</v>
      </c>
    </row>
    <row r="155" spans="2:21" s="2" customFormat="1" ht="14.65" customHeight="1" thickBot="1" x14ac:dyDescent="0.3">
      <c r="B155" s="105"/>
      <c r="C155" s="320" t="s">
        <v>58</v>
      </c>
      <c r="D155" s="378"/>
      <c r="E155" s="378"/>
      <c r="F155" s="378"/>
      <c r="G155" s="378"/>
      <c r="H155" s="378"/>
      <c r="I155" s="378"/>
      <c r="J155" s="378"/>
      <c r="K155" s="378"/>
      <c r="L155" s="378"/>
      <c r="M155" s="378"/>
      <c r="N155" s="378"/>
      <c r="O155" s="378"/>
      <c r="P155" s="365">
        <f>SUM(D155:O155)</f>
        <v>0</v>
      </c>
      <c r="R155"/>
      <c r="S155"/>
      <c r="T155"/>
      <c r="U155"/>
    </row>
    <row r="156" spans="2:21" s="2" customFormat="1" ht="14.65" customHeight="1" x14ac:dyDescent="0.25">
      <c r="B156" s="105"/>
      <c r="C156" s="110" t="s">
        <v>59</v>
      </c>
      <c r="D156" s="332"/>
      <c r="E156" s="332"/>
      <c r="F156" s="332"/>
      <c r="G156" s="332"/>
      <c r="H156" s="332"/>
      <c r="I156" s="332"/>
      <c r="J156" s="332"/>
      <c r="K156" s="332"/>
      <c r="L156" s="332"/>
      <c r="M156" s="332"/>
      <c r="N156" s="332"/>
      <c r="O156" s="332"/>
      <c r="P156" s="366">
        <f t="shared" ref="P156:P163" si="261">SUM(D156:O156)</f>
        <v>0</v>
      </c>
      <c r="R156"/>
      <c r="S156"/>
      <c r="T156"/>
      <c r="U156"/>
    </row>
    <row r="157" spans="2:21" s="2" customFormat="1" ht="14.65" customHeight="1" x14ac:dyDescent="0.25">
      <c r="B157" s="87"/>
      <c r="C157" s="46" t="s">
        <v>60</v>
      </c>
      <c r="D157" s="385">
        <f>D156*$G$5</f>
        <v>0</v>
      </c>
      <c r="E157" s="385">
        <f t="shared" ref="E157" si="262">E156*$G$5</f>
        <v>0</v>
      </c>
      <c r="F157" s="385">
        <f t="shared" ref="F157" si="263">F156*$G$5</f>
        <v>0</v>
      </c>
      <c r="G157" s="385">
        <f t="shared" ref="G157" si="264">G156*$G$5</f>
        <v>0</v>
      </c>
      <c r="H157" s="385">
        <f t="shared" ref="H157" si="265">H156*$G$5</f>
        <v>0</v>
      </c>
      <c r="I157" s="385">
        <f t="shared" ref="I157" si="266">I156*$G$5</f>
        <v>0</v>
      </c>
      <c r="J157" s="385">
        <f t="shared" ref="J157" si="267">J156*$G$5</f>
        <v>0</v>
      </c>
      <c r="K157" s="385">
        <f t="shared" ref="K157" si="268">K156*$G$5</f>
        <v>0</v>
      </c>
      <c r="L157" s="385">
        <f t="shared" ref="L157" si="269">L156*$G$5</f>
        <v>0</v>
      </c>
      <c r="M157" s="385">
        <f t="shared" ref="M157" si="270">M156*$G$5</f>
        <v>0</v>
      </c>
      <c r="N157" s="385">
        <f t="shared" ref="N157" si="271">N156*$G$5</f>
        <v>0</v>
      </c>
      <c r="O157" s="385">
        <f t="shared" ref="O157" si="272">O156*$G$5</f>
        <v>0</v>
      </c>
      <c r="P157" s="366">
        <f t="shared" si="261"/>
        <v>0</v>
      </c>
      <c r="R157"/>
      <c r="S157"/>
      <c r="T157"/>
      <c r="U157"/>
    </row>
    <row r="158" spans="2:21" s="2" customFormat="1" ht="14.65" customHeight="1" thickBot="1" x14ac:dyDescent="0.3">
      <c r="B158" s="105"/>
      <c r="C158" s="320" t="s">
        <v>61</v>
      </c>
      <c r="D158" s="378"/>
      <c r="E158" s="378"/>
      <c r="F158" s="378"/>
      <c r="G158" s="378"/>
      <c r="H158" s="378"/>
      <c r="I158" s="378"/>
      <c r="J158" s="378"/>
      <c r="K158" s="378"/>
      <c r="L158" s="378"/>
      <c r="M158" s="378"/>
      <c r="N158" s="378"/>
      <c r="O158" s="378"/>
      <c r="P158" s="365">
        <f>SUM(D158:O158)</f>
        <v>0</v>
      </c>
      <c r="R158"/>
      <c r="S158"/>
      <c r="T158"/>
      <c r="U158"/>
    </row>
    <row r="159" spans="2:21" ht="14.65" customHeight="1" x14ac:dyDescent="0.25">
      <c r="B159" s="86"/>
      <c r="C159" s="110" t="s">
        <v>62</v>
      </c>
      <c r="D159" s="332"/>
      <c r="E159" s="332"/>
      <c r="F159" s="332"/>
      <c r="G159" s="332"/>
      <c r="H159" s="332"/>
      <c r="I159" s="332"/>
      <c r="J159" s="332"/>
      <c r="K159" s="332"/>
      <c r="L159" s="332"/>
      <c r="M159" s="332"/>
      <c r="N159" s="332"/>
      <c r="O159" s="332"/>
      <c r="P159" s="366">
        <f t="shared" si="261"/>
        <v>0</v>
      </c>
    </row>
    <row r="160" spans="2:21" ht="14.65" customHeight="1" x14ac:dyDescent="0.25">
      <c r="B160" s="77"/>
      <c r="C160" s="46" t="s">
        <v>63</v>
      </c>
      <c r="D160" s="385">
        <f>D159*$G$6</f>
        <v>0</v>
      </c>
      <c r="E160" s="385">
        <f t="shared" ref="E160" si="273">E159*$G$6</f>
        <v>0</v>
      </c>
      <c r="F160" s="385">
        <f t="shared" ref="F160" si="274">F159*$G$6</f>
        <v>0</v>
      </c>
      <c r="G160" s="385">
        <f t="shared" ref="G160" si="275">G159*$G$6</f>
        <v>0</v>
      </c>
      <c r="H160" s="385">
        <f t="shared" ref="H160" si="276">H159*$G$6</f>
        <v>0</v>
      </c>
      <c r="I160" s="385">
        <f t="shared" ref="I160" si="277">I159*$G$6</f>
        <v>0</v>
      </c>
      <c r="J160" s="385">
        <f t="shared" ref="J160" si="278">J159*$G$6</f>
        <v>0</v>
      </c>
      <c r="K160" s="385">
        <f t="shared" ref="K160" si="279">K159*$G$6</f>
        <v>0</v>
      </c>
      <c r="L160" s="385">
        <f t="shared" ref="L160" si="280">L159*$G$6</f>
        <v>0</v>
      </c>
      <c r="M160" s="385">
        <f t="shared" ref="M160" si="281">M159*$G$6</f>
        <v>0</v>
      </c>
      <c r="N160" s="385">
        <f t="shared" ref="N160" si="282">N159*$G$6</f>
        <v>0</v>
      </c>
      <c r="O160" s="385">
        <f t="shared" ref="O160" si="283">O159*$G$6</f>
        <v>0</v>
      </c>
      <c r="P160" s="366">
        <f t="shared" si="261"/>
        <v>0</v>
      </c>
    </row>
    <row r="161" spans="2:17" ht="14.65" customHeight="1" thickBot="1" x14ac:dyDescent="0.3">
      <c r="B161" s="105"/>
      <c r="C161" s="320" t="s">
        <v>64</v>
      </c>
      <c r="D161" s="378"/>
      <c r="E161" s="378"/>
      <c r="F161" s="378"/>
      <c r="G161" s="378"/>
      <c r="H161" s="378"/>
      <c r="I161" s="378"/>
      <c r="J161" s="378"/>
      <c r="K161" s="378"/>
      <c r="L161" s="378"/>
      <c r="M161" s="378"/>
      <c r="N161" s="378"/>
      <c r="O161" s="378"/>
      <c r="P161" s="365">
        <f>SUM(D161:O161)</f>
        <v>0</v>
      </c>
    </row>
    <row r="162" spans="2:17" ht="14.65" customHeight="1" x14ac:dyDescent="0.25">
      <c r="B162" s="77"/>
      <c r="C162" s="110" t="s">
        <v>65</v>
      </c>
      <c r="D162" s="332"/>
      <c r="E162" s="332"/>
      <c r="F162" s="332"/>
      <c r="G162" s="332"/>
      <c r="H162" s="332"/>
      <c r="I162" s="332"/>
      <c r="J162" s="332"/>
      <c r="K162" s="332"/>
      <c r="L162" s="332"/>
      <c r="M162" s="332"/>
      <c r="N162" s="332"/>
      <c r="O162" s="332"/>
      <c r="P162" s="366">
        <f t="shared" si="261"/>
        <v>0</v>
      </c>
    </row>
    <row r="163" spans="2:17" ht="14.65" customHeight="1" x14ac:dyDescent="0.25">
      <c r="B163" s="77"/>
      <c r="C163" s="46" t="s">
        <v>66</v>
      </c>
      <c r="D163" s="385">
        <f>D162*$G$7</f>
        <v>0</v>
      </c>
      <c r="E163" s="385">
        <f t="shared" ref="E163" si="284">E162*$G$7</f>
        <v>0</v>
      </c>
      <c r="F163" s="385">
        <f t="shared" ref="F163" si="285">F162*$G$7</f>
        <v>0</v>
      </c>
      <c r="G163" s="385">
        <f t="shared" ref="G163" si="286">G162*$G$7</f>
        <v>0</v>
      </c>
      <c r="H163" s="385">
        <f t="shared" ref="H163" si="287">H162*$G$7</f>
        <v>0</v>
      </c>
      <c r="I163" s="385">
        <f t="shared" ref="I163" si="288">I162*$G$7</f>
        <v>0</v>
      </c>
      <c r="J163" s="385">
        <f t="shared" ref="J163" si="289">J162*$G$7</f>
        <v>0</v>
      </c>
      <c r="K163" s="385">
        <f t="shared" ref="K163" si="290">K162*$G$7</f>
        <v>0</v>
      </c>
      <c r="L163" s="385">
        <f t="shared" ref="L163" si="291">L162*$G$7</f>
        <v>0</v>
      </c>
      <c r="M163" s="385">
        <f t="shared" ref="M163" si="292">M162*$G$7</f>
        <v>0</v>
      </c>
      <c r="N163" s="385">
        <f t="shared" ref="N163" si="293">N162*$G$7</f>
        <v>0</v>
      </c>
      <c r="O163" s="385">
        <f t="shared" ref="O163" si="294">O162*$G$7</f>
        <v>0</v>
      </c>
      <c r="P163" s="366">
        <f t="shared" si="261"/>
        <v>0</v>
      </c>
    </row>
    <row r="164" spans="2:17" ht="14.65" customHeight="1" thickBot="1" x14ac:dyDescent="0.3">
      <c r="B164" s="105"/>
      <c r="C164" s="320" t="s">
        <v>67</v>
      </c>
      <c r="D164" s="378"/>
      <c r="E164" s="378"/>
      <c r="F164" s="378"/>
      <c r="G164" s="378"/>
      <c r="H164" s="378"/>
      <c r="I164" s="378"/>
      <c r="J164" s="378"/>
      <c r="K164" s="378"/>
      <c r="L164" s="378"/>
      <c r="M164" s="378"/>
      <c r="N164" s="378"/>
      <c r="O164" s="378"/>
      <c r="P164" s="365">
        <f>SUM(D164:O164)</f>
        <v>0</v>
      </c>
    </row>
    <row r="165" spans="2:17" ht="15.75" thickBot="1" x14ac:dyDescent="0.3">
      <c r="B165" s="77"/>
      <c r="C165" s="323" t="s">
        <v>68</v>
      </c>
      <c r="D165" s="380">
        <f>D160+D161+D157+D158+D163+D164+D154+D155</f>
        <v>0</v>
      </c>
      <c r="E165" s="380">
        <f t="shared" ref="E165:O165" si="295">E160+E161+E157+E158+E163+E164+E154+E155</f>
        <v>0</v>
      </c>
      <c r="F165" s="380">
        <f t="shared" si="295"/>
        <v>0</v>
      </c>
      <c r="G165" s="380">
        <f t="shared" si="295"/>
        <v>0</v>
      </c>
      <c r="H165" s="380">
        <f t="shared" si="295"/>
        <v>0</v>
      </c>
      <c r="I165" s="380">
        <f t="shared" si="295"/>
        <v>0</v>
      </c>
      <c r="J165" s="380">
        <f t="shared" si="295"/>
        <v>0</v>
      </c>
      <c r="K165" s="380">
        <f t="shared" si="295"/>
        <v>0</v>
      </c>
      <c r="L165" s="380">
        <f t="shared" si="295"/>
        <v>0</v>
      </c>
      <c r="M165" s="380">
        <f t="shared" si="295"/>
        <v>0</v>
      </c>
      <c r="N165" s="380">
        <f t="shared" si="295"/>
        <v>0</v>
      </c>
      <c r="O165" s="380">
        <f t="shared" si="295"/>
        <v>0</v>
      </c>
      <c r="P165" s="383">
        <f>SUM(D165:O165)</f>
        <v>0</v>
      </c>
    </row>
    <row r="166" spans="2:17" ht="15.75" x14ac:dyDescent="0.25">
      <c r="B166" s="105"/>
      <c r="C166" s="321" t="s">
        <v>69</v>
      </c>
      <c r="D166" s="369"/>
      <c r="E166" s="369"/>
      <c r="F166" s="369"/>
      <c r="G166" s="369"/>
      <c r="H166" s="369"/>
      <c r="I166" s="369"/>
      <c r="J166" s="369"/>
      <c r="K166" s="369"/>
      <c r="L166" s="369"/>
      <c r="M166" s="369"/>
      <c r="N166" s="369"/>
      <c r="O166" s="369"/>
      <c r="P166" s="382">
        <f t="shared" ref="P166:P173" si="296">SUM(D166:O166)</f>
        <v>0</v>
      </c>
      <c r="Q166" s="73"/>
    </row>
    <row r="167" spans="2:17" x14ac:dyDescent="0.25">
      <c r="B167" s="105"/>
      <c r="C167" s="92" t="s">
        <v>70</v>
      </c>
      <c r="D167" s="385">
        <f>D166*$G$8</f>
        <v>0</v>
      </c>
      <c r="E167" s="385">
        <f t="shared" ref="E167" si="297">E166*$G$8</f>
        <v>0</v>
      </c>
      <c r="F167" s="385">
        <f t="shared" ref="F167" si="298">F166*$G$8</f>
        <v>0</v>
      </c>
      <c r="G167" s="385">
        <f t="shared" ref="G167" si="299">G166*$G$8</f>
        <v>0</v>
      </c>
      <c r="H167" s="385">
        <f t="shared" ref="H167" si="300">H166*$G$8</f>
        <v>0</v>
      </c>
      <c r="I167" s="385">
        <f t="shared" ref="I167" si="301">I166*$G$8</f>
        <v>0</v>
      </c>
      <c r="J167" s="385">
        <f t="shared" ref="J167" si="302">J166*$G$8</f>
        <v>0</v>
      </c>
      <c r="K167" s="385">
        <f t="shared" ref="K167" si="303">K166*$G$8</f>
        <v>0</v>
      </c>
      <c r="L167" s="385">
        <f t="shared" ref="L167" si="304">L166*$G$8</f>
        <v>0</v>
      </c>
      <c r="M167" s="385">
        <f t="shared" ref="M167" si="305">M166*$G$8</f>
        <v>0</v>
      </c>
      <c r="N167" s="385">
        <f t="shared" ref="N167" si="306">N166*$G$8</f>
        <v>0</v>
      </c>
      <c r="O167" s="385">
        <f t="shared" ref="O167" si="307">O166*$G$8</f>
        <v>0</v>
      </c>
      <c r="P167" s="366">
        <f t="shared" si="296"/>
        <v>0</v>
      </c>
      <c r="Q167" s="73"/>
    </row>
    <row r="168" spans="2:17" ht="15.75" thickBot="1" x14ac:dyDescent="0.3">
      <c r="B168" s="105"/>
      <c r="C168" s="265" t="s">
        <v>71</v>
      </c>
      <c r="D168" s="378"/>
      <c r="E168" s="378"/>
      <c r="F168" s="378"/>
      <c r="G168" s="378"/>
      <c r="H168" s="378"/>
      <c r="I168" s="378"/>
      <c r="J168" s="378"/>
      <c r="K168" s="378"/>
      <c r="L168" s="378"/>
      <c r="M168" s="378"/>
      <c r="N168" s="378"/>
      <c r="O168" s="378"/>
      <c r="P168" s="365">
        <f>SUM(D168:O168)</f>
        <v>0</v>
      </c>
      <c r="Q168" s="73"/>
    </row>
    <row r="169" spans="2:17" ht="15.75" x14ac:dyDescent="0.25">
      <c r="B169" s="105"/>
      <c r="C169" s="321" t="s">
        <v>72</v>
      </c>
      <c r="D169" s="332"/>
      <c r="E169" s="332"/>
      <c r="F169" s="332"/>
      <c r="G169" s="332"/>
      <c r="H169" s="332"/>
      <c r="I169" s="332"/>
      <c r="J169" s="332"/>
      <c r="K169" s="332"/>
      <c r="L169" s="332"/>
      <c r="M169" s="332"/>
      <c r="N169" s="332"/>
      <c r="O169" s="332"/>
      <c r="P169" s="366">
        <f t="shared" si="296"/>
        <v>0</v>
      </c>
      <c r="Q169" s="73"/>
    </row>
    <row r="170" spans="2:17" ht="14.65" customHeight="1" x14ac:dyDescent="0.25">
      <c r="B170" s="77"/>
      <c r="C170" s="92" t="s">
        <v>73</v>
      </c>
      <c r="D170" s="385">
        <f>D169*$G$8</f>
        <v>0</v>
      </c>
      <c r="E170" s="385">
        <f t="shared" ref="E170" si="308">E169*$G$8</f>
        <v>0</v>
      </c>
      <c r="F170" s="385">
        <f t="shared" ref="F170" si="309">F169*$G$8</f>
        <v>0</v>
      </c>
      <c r="G170" s="385">
        <f t="shared" ref="G170" si="310">G169*$G$8</f>
        <v>0</v>
      </c>
      <c r="H170" s="385">
        <f t="shared" ref="H170" si="311">H169*$G$8</f>
        <v>0</v>
      </c>
      <c r="I170" s="385">
        <f t="shared" ref="I170" si="312">I169*$G$8</f>
        <v>0</v>
      </c>
      <c r="J170" s="385">
        <f t="shared" ref="J170" si="313">J169*$G$8</f>
        <v>0</v>
      </c>
      <c r="K170" s="385">
        <f t="shared" ref="K170" si="314">K169*$G$8</f>
        <v>0</v>
      </c>
      <c r="L170" s="385">
        <f t="shared" ref="L170" si="315">L169*$G$8</f>
        <v>0</v>
      </c>
      <c r="M170" s="385">
        <f t="shared" ref="M170" si="316">M169*$G$8</f>
        <v>0</v>
      </c>
      <c r="N170" s="385">
        <f t="shared" ref="N170" si="317">N169*$G$8</f>
        <v>0</v>
      </c>
      <c r="O170" s="385">
        <f t="shared" ref="O170" si="318">O169*$G$8</f>
        <v>0</v>
      </c>
      <c r="P170" s="382">
        <f t="shared" si="296"/>
        <v>0</v>
      </c>
    </row>
    <row r="171" spans="2:17" ht="14.65" customHeight="1" thickBot="1" x14ac:dyDescent="0.3">
      <c r="B171" s="105"/>
      <c r="C171" s="265" t="s">
        <v>74</v>
      </c>
      <c r="D171" s="378"/>
      <c r="E171" s="378"/>
      <c r="F171" s="378"/>
      <c r="G171" s="378"/>
      <c r="H171" s="378"/>
      <c r="I171" s="378"/>
      <c r="J171" s="378"/>
      <c r="K171" s="378"/>
      <c r="L171" s="378"/>
      <c r="M171" s="378"/>
      <c r="N171" s="378"/>
      <c r="O171" s="378"/>
      <c r="P171" s="365">
        <f>SUM(D171:O171)</f>
        <v>0</v>
      </c>
    </row>
    <row r="172" spans="2:17" ht="14.65" customHeight="1" thickBot="1" x14ac:dyDescent="0.3">
      <c r="B172" s="77"/>
      <c r="C172" s="324" t="s">
        <v>75</v>
      </c>
      <c r="D172" s="380">
        <f>D167+D168+D170+D171</f>
        <v>0</v>
      </c>
      <c r="E172" s="380">
        <f t="shared" ref="E172:O172" si="319">E167+E168+E170+E171</f>
        <v>0</v>
      </c>
      <c r="F172" s="380">
        <f t="shared" si="319"/>
        <v>0</v>
      </c>
      <c r="G172" s="380">
        <f t="shared" si="319"/>
        <v>0</v>
      </c>
      <c r="H172" s="380">
        <f t="shared" si="319"/>
        <v>0</v>
      </c>
      <c r="I172" s="380">
        <f t="shared" si="319"/>
        <v>0</v>
      </c>
      <c r="J172" s="380">
        <f t="shared" si="319"/>
        <v>0</v>
      </c>
      <c r="K172" s="380">
        <f t="shared" si="319"/>
        <v>0</v>
      </c>
      <c r="L172" s="380">
        <f t="shared" si="319"/>
        <v>0</v>
      </c>
      <c r="M172" s="380">
        <f t="shared" si="319"/>
        <v>0</v>
      </c>
      <c r="N172" s="380">
        <f t="shared" si="319"/>
        <v>0</v>
      </c>
      <c r="O172" s="380">
        <f t="shared" si="319"/>
        <v>0</v>
      </c>
      <c r="P172" s="383">
        <f t="shared" si="296"/>
        <v>0</v>
      </c>
    </row>
    <row r="173" spans="2:17" ht="15.75" thickBot="1" x14ac:dyDescent="0.3">
      <c r="B173" s="77"/>
      <c r="C173" s="323" t="s">
        <v>76</v>
      </c>
      <c r="D173" s="386">
        <f t="shared" ref="D173:O173" si="320">D165+D172</f>
        <v>0</v>
      </c>
      <c r="E173" s="386">
        <f t="shared" si="320"/>
        <v>0</v>
      </c>
      <c r="F173" s="386">
        <f t="shared" si="320"/>
        <v>0</v>
      </c>
      <c r="G173" s="386">
        <f t="shared" si="320"/>
        <v>0</v>
      </c>
      <c r="H173" s="386">
        <f t="shared" si="320"/>
        <v>0</v>
      </c>
      <c r="I173" s="386">
        <f t="shared" si="320"/>
        <v>0</v>
      </c>
      <c r="J173" s="386">
        <f t="shared" si="320"/>
        <v>0</v>
      </c>
      <c r="K173" s="386">
        <f t="shared" si="320"/>
        <v>0</v>
      </c>
      <c r="L173" s="386">
        <f t="shared" si="320"/>
        <v>0</v>
      </c>
      <c r="M173" s="386">
        <f t="shared" si="320"/>
        <v>0</v>
      </c>
      <c r="N173" s="386">
        <f t="shared" si="320"/>
        <v>0</v>
      </c>
      <c r="O173" s="386">
        <f t="shared" si="320"/>
        <v>0</v>
      </c>
      <c r="P173" s="383">
        <f t="shared" si="296"/>
        <v>0</v>
      </c>
    </row>
    <row r="174" spans="2:17" x14ac:dyDescent="0.25">
      <c r="B174" s="77"/>
      <c r="C174" s="325" t="s">
        <v>359</v>
      </c>
      <c r="D174" s="513"/>
      <c r="E174" s="513"/>
      <c r="F174" s="513"/>
      <c r="G174" s="513"/>
      <c r="H174" s="513"/>
      <c r="I174" s="513"/>
      <c r="J174" s="513"/>
      <c r="K174" s="513"/>
      <c r="L174" s="513"/>
      <c r="M174" s="513"/>
      <c r="N174" s="513"/>
      <c r="O174" s="513"/>
      <c r="P174" s="350" t="e">
        <f>P173/b_2027</f>
        <v>#DIV/0!</v>
      </c>
    </row>
    <row r="175" spans="2:17" ht="15.75" thickBot="1" x14ac:dyDescent="0.3">
      <c r="B175" s="91"/>
      <c r="C175" s="163" t="s">
        <v>77</v>
      </c>
      <c r="D175" s="381" t="e">
        <f t="shared" ref="D175:P175" si="321">D165/D173</f>
        <v>#DIV/0!</v>
      </c>
      <c r="E175" s="381" t="e">
        <f t="shared" si="321"/>
        <v>#DIV/0!</v>
      </c>
      <c r="F175" s="381" t="e">
        <f t="shared" si="321"/>
        <v>#DIV/0!</v>
      </c>
      <c r="G175" s="381" t="e">
        <f t="shared" si="321"/>
        <v>#DIV/0!</v>
      </c>
      <c r="H175" s="381" t="e">
        <f t="shared" si="321"/>
        <v>#DIV/0!</v>
      </c>
      <c r="I175" s="381" t="e">
        <f t="shared" si="321"/>
        <v>#DIV/0!</v>
      </c>
      <c r="J175" s="381" t="e">
        <f t="shared" si="321"/>
        <v>#DIV/0!</v>
      </c>
      <c r="K175" s="381" t="e">
        <f t="shared" si="321"/>
        <v>#DIV/0!</v>
      </c>
      <c r="L175" s="381" t="e">
        <f t="shared" si="321"/>
        <v>#DIV/0!</v>
      </c>
      <c r="M175" s="381" t="e">
        <f t="shared" si="321"/>
        <v>#DIV/0!</v>
      </c>
      <c r="N175" s="381" t="e">
        <f t="shared" si="321"/>
        <v>#DIV/0!</v>
      </c>
      <c r="O175" s="381" t="e">
        <f t="shared" si="321"/>
        <v>#DIV/0!</v>
      </c>
      <c r="P175" s="384" t="e">
        <f t="shared" si="321"/>
        <v>#DIV/0!</v>
      </c>
      <c r="Q175" s="97"/>
    </row>
    <row r="176" spans="2:17" ht="14.65" customHeight="1" x14ac:dyDescent="0.25">
      <c r="B176" s="58"/>
      <c r="D176"/>
      <c r="E176"/>
      <c r="F176"/>
      <c r="G176"/>
      <c r="H176"/>
      <c r="I176"/>
      <c r="J176"/>
      <c r="K176"/>
      <c r="L176"/>
      <c r="M176"/>
      <c r="N176"/>
      <c r="O176"/>
      <c r="P176"/>
    </row>
    <row r="177" spans="2:21" ht="14.65" customHeight="1" thickBot="1" x14ac:dyDescent="0.3">
      <c r="B177" s="58"/>
      <c r="D177"/>
      <c r="E177"/>
      <c r="F177"/>
      <c r="G177"/>
      <c r="H177"/>
      <c r="I177"/>
      <c r="J177"/>
      <c r="K177"/>
      <c r="L177"/>
      <c r="M177"/>
      <c r="N177"/>
      <c r="O177"/>
      <c r="P177"/>
    </row>
    <row r="178" spans="2:21" x14ac:dyDescent="0.25">
      <c r="B178" s="603" t="s">
        <v>9</v>
      </c>
      <c r="C178" s="645" t="s">
        <v>10</v>
      </c>
      <c r="D178" s="642" t="s">
        <v>11</v>
      </c>
      <c r="E178" s="600" t="s">
        <v>12</v>
      </c>
      <c r="F178" s="600" t="s">
        <v>13</v>
      </c>
      <c r="G178" s="600" t="s">
        <v>14</v>
      </c>
      <c r="H178" s="600" t="s">
        <v>15</v>
      </c>
      <c r="I178" s="600" t="s">
        <v>16</v>
      </c>
      <c r="J178" s="600" t="s">
        <v>17</v>
      </c>
      <c r="K178" s="600" t="s">
        <v>18</v>
      </c>
      <c r="L178" s="600" t="s">
        <v>19</v>
      </c>
      <c r="M178" s="600" t="s">
        <v>20</v>
      </c>
      <c r="N178" s="600" t="s">
        <v>21</v>
      </c>
      <c r="O178" s="643" t="s">
        <v>22</v>
      </c>
      <c r="P178" s="603" t="s">
        <v>23</v>
      </c>
    </row>
    <row r="179" spans="2:21" ht="15.75" thickBot="1" x14ac:dyDescent="0.3">
      <c r="B179" s="605"/>
      <c r="C179" s="646"/>
      <c r="D179" s="628"/>
      <c r="E179" s="602"/>
      <c r="F179" s="602"/>
      <c r="G179" s="602"/>
      <c r="H179" s="602"/>
      <c r="I179" s="602"/>
      <c r="J179" s="602"/>
      <c r="K179" s="602"/>
      <c r="L179" s="602"/>
      <c r="M179" s="602"/>
      <c r="N179" s="602"/>
      <c r="O179" s="644"/>
      <c r="P179" s="605"/>
    </row>
    <row r="180" spans="2:21" ht="14.65" customHeight="1" x14ac:dyDescent="0.25">
      <c r="B180" s="104">
        <f>ÜLDANDMED!I10</f>
        <v>2028</v>
      </c>
      <c r="C180" s="110" t="s">
        <v>56</v>
      </c>
      <c r="D180" s="332"/>
      <c r="E180" s="332"/>
      <c r="F180" s="332"/>
      <c r="G180" s="332"/>
      <c r="H180" s="332"/>
      <c r="I180" s="332"/>
      <c r="J180" s="332"/>
      <c r="K180" s="332"/>
      <c r="L180" s="332"/>
      <c r="M180" s="332"/>
      <c r="N180" s="332"/>
      <c r="O180" s="332"/>
      <c r="P180" s="366">
        <f>SUM(D180:O180)</f>
        <v>0</v>
      </c>
    </row>
    <row r="181" spans="2:21" s="2" customFormat="1" ht="14.65" customHeight="1" x14ac:dyDescent="0.2">
      <c r="B181" s="77"/>
      <c r="C181" s="46" t="s">
        <v>57</v>
      </c>
      <c r="D181" s="385">
        <f>D180*$G$4</f>
        <v>0</v>
      </c>
      <c r="E181" s="385">
        <f t="shared" ref="E181" si="322">E180*$G$4</f>
        <v>0</v>
      </c>
      <c r="F181" s="385">
        <f t="shared" ref="F181" si="323">F180*$G$4</f>
        <v>0</v>
      </c>
      <c r="G181" s="385">
        <f t="shared" ref="G181" si="324">G180*$G$4</f>
        <v>0</v>
      </c>
      <c r="H181" s="385">
        <f t="shared" ref="H181" si="325">H180*$G$4</f>
        <v>0</v>
      </c>
      <c r="I181" s="385">
        <f t="shared" ref="I181" si="326">I180*$G$4</f>
        <v>0</v>
      </c>
      <c r="J181" s="385">
        <f t="shared" ref="J181" si="327">J180*$G$4</f>
        <v>0</v>
      </c>
      <c r="K181" s="385">
        <f t="shared" ref="K181" si="328">K180*$G$4</f>
        <v>0</v>
      </c>
      <c r="L181" s="385">
        <f t="shared" ref="L181" si="329">L180*$G$4</f>
        <v>0</v>
      </c>
      <c r="M181" s="385">
        <f t="shared" ref="M181" si="330">M180*$G$4</f>
        <v>0</v>
      </c>
      <c r="N181" s="385">
        <f t="shared" ref="N181" si="331">N180*$G$4</f>
        <v>0</v>
      </c>
      <c r="O181" s="385">
        <f t="shared" ref="O181" si="332">O180*$G$4</f>
        <v>0</v>
      </c>
      <c r="P181" s="366">
        <f>SUM(D181:O181)</f>
        <v>0</v>
      </c>
    </row>
    <row r="182" spans="2:21" s="2" customFormat="1" ht="14.65" customHeight="1" thickBot="1" x14ac:dyDescent="0.3">
      <c r="B182" s="105"/>
      <c r="C182" s="320" t="s">
        <v>58</v>
      </c>
      <c r="D182" s="378"/>
      <c r="E182" s="378"/>
      <c r="F182" s="378"/>
      <c r="G182" s="378"/>
      <c r="H182" s="378"/>
      <c r="I182" s="378"/>
      <c r="J182" s="378"/>
      <c r="K182" s="378"/>
      <c r="L182" s="378"/>
      <c r="M182" s="378"/>
      <c r="N182" s="378"/>
      <c r="O182" s="378"/>
      <c r="P182" s="365">
        <f>SUM(D182:O182)</f>
        <v>0</v>
      </c>
      <c r="R182"/>
      <c r="S182"/>
      <c r="T182"/>
      <c r="U182"/>
    </row>
    <row r="183" spans="2:21" s="2" customFormat="1" ht="14.65" customHeight="1" x14ac:dyDescent="0.25">
      <c r="B183" s="105"/>
      <c r="C183" s="110" t="s">
        <v>59</v>
      </c>
      <c r="D183" s="332"/>
      <c r="E183" s="332"/>
      <c r="F183" s="332"/>
      <c r="G183" s="332"/>
      <c r="H183" s="332"/>
      <c r="I183" s="332"/>
      <c r="J183" s="332"/>
      <c r="K183" s="332"/>
      <c r="L183" s="332"/>
      <c r="M183" s="332"/>
      <c r="N183" s="332"/>
      <c r="O183" s="332"/>
      <c r="P183" s="366">
        <f t="shared" ref="P183:P190" si="333">SUM(D183:O183)</f>
        <v>0</v>
      </c>
      <c r="R183"/>
      <c r="S183"/>
      <c r="T183"/>
      <c r="U183"/>
    </row>
    <row r="184" spans="2:21" s="2" customFormat="1" ht="14.65" customHeight="1" x14ac:dyDescent="0.25">
      <c r="B184" s="87"/>
      <c r="C184" s="46" t="s">
        <v>60</v>
      </c>
      <c r="D184" s="385">
        <f>D183*$G$5</f>
        <v>0</v>
      </c>
      <c r="E184" s="385">
        <f t="shared" ref="E184" si="334">E183*$G$5</f>
        <v>0</v>
      </c>
      <c r="F184" s="385">
        <f t="shared" ref="F184" si="335">F183*$G$5</f>
        <v>0</v>
      </c>
      <c r="G184" s="385">
        <f t="shared" ref="G184" si="336">G183*$G$5</f>
        <v>0</v>
      </c>
      <c r="H184" s="385">
        <f t="shared" ref="H184" si="337">H183*$G$5</f>
        <v>0</v>
      </c>
      <c r="I184" s="385">
        <f t="shared" ref="I184" si="338">I183*$G$5</f>
        <v>0</v>
      </c>
      <c r="J184" s="385">
        <f t="shared" ref="J184" si="339">J183*$G$5</f>
        <v>0</v>
      </c>
      <c r="K184" s="385">
        <f t="shared" ref="K184" si="340">K183*$G$5</f>
        <v>0</v>
      </c>
      <c r="L184" s="385">
        <f t="shared" ref="L184" si="341">L183*$G$5</f>
        <v>0</v>
      </c>
      <c r="M184" s="385">
        <f t="shared" ref="M184" si="342">M183*$G$5</f>
        <v>0</v>
      </c>
      <c r="N184" s="385">
        <f t="shared" ref="N184" si="343">N183*$G$5</f>
        <v>0</v>
      </c>
      <c r="O184" s="385">
        <f t="shared" ref="O184" si="344">O183*$G$5</f>
        <v>0</v>
      </c>
      <c r="P184" s="366">
        <f t="shared" si="333"/>
        <v>0</v>
      </c>
      <c r="R184"/>
      <c r="S184"/>
      <c r="T184"/>
      <c r="U184"/>
    </row>
    <row r="185" spans="2:21" s="2" customFormat="1" ht="14.65" customHeight="1" thickBot="1" x14ac:dyDescent="0.3">
      <c r="B185" s="105"/>
      <c r="C185" s="320" t="s">
        <v>61</v>
      </c>
      <c r="D185" s="378"/>
      <c r="E185" s="378"/>
      <c r="F185" s="378"/>
      <c r="G185" s="378"/>
      <c r="H185" s="378"/>
      <c r="I185" s="378"/>
      <c r="J185" s="378"/>
      <c r="K185" s="378"/>
      <c r="L185" s="378"/>
      <c r="M185" s="378"/>
      <c r="N185" s="378"/>
      <c r="O185" s="378"/>
      <c r="P185" s="365">
        <f>SUM(D185:O185)</f>
        <v>0</v>
      </c>
      <c r="R185"/>
      <c r="S185"/>
      <c r="T185"/>
      <c r="U185"/>
    </row>
    <row r="186" spans="2:21" ht="14.65" customHeight="1" x14ac:dyDescent="0.25">
      <c r="B186" s="86"/>
      <c r="C186" s="110" t="s">
        <v>62</v>
      </c>
      <c r="D186" s="332"/>
      <c r="E186" s="332"/>
      <c r="F186" s="332"/>
      <c r="G186" s="332"/>
      <c r="H186" s="332"/>
      <c r="I186" s="332"/>
      <c r="J186" s="332"/>
      <c r="K186" s="332"/>
      <c r="L186" s="332"/>
      <c r="M186" s="332"/>
      <c r="N186" s="332"/>
      <c r="O186" s="332"/>
      <c r="P186" s="366">
        <f t="shared" si="333"/>
        <v>0</v>
      </c>
    </row>
    <row r="187" spans="2:21" ht="14.65" customHeight="1" x14ac:dyDescent="0.25">
      <c r="B187" s="77"/>
      <c r="C187" s="46" t="s">
        <v>63</v>
      </c>
      <c r="D187" s="385">
        <f>D186*$G$6</f>
        <v>0</v>
      </c>
      <c r="E187" s="385">
        <f t="shared" ref="E187" si="345">E186*$G$6</f>
        <v>0</v>
      </c>
      <c r="F187" s="385">
        <f t="shared" ref="F187" si="346">F186*$G$6</f>
        <v>0</v>
      </c>
      <c r="G187" s="385">
        <f t="shared" ref="G187" si="347">G186*$G$6</f>
        <v>0</v>
      </c>
      <c r="H187" s="385">
        <f t="shared" ref="H187" si="348">H186*$G$6</f>
        <v>0</v>
      </c>
      <c r="I187" s="385">
        <f t="shared" ref="I187" si="349">I186*$G$6</f>
        <v>0</v>
      </c>
      <c r="J187" s="385">
        <f t="shared" ref="J187" si="350">J186*$G$6</f>
        <v>0</v>
      </c>
      <c r="K187" s="385">
        <f t="shared" ref="K187" si="351">K186*$G$6</f>
        <v>0</v>
      </c>
      <c r="L187" s="385">
        <f t="shared" ref="L187" si="352">L186*$G$6</f>
        <v>0</v>
      </c>
      <c r="M187" s="385">
        <f t="shared" ref="M187" si="353">M186*$G$6</f>
        <v>0</v>
      </c>
      <c r="N187" s="385">
        <f t="shared" ref="N187" si="354">N186*$G$6</f>
        <v>0</v>
      </c>
      <c r="O187" s="385">
        <f t="shared" ref="O187" si="355">O186*$G$6</f>
        <v>0</v>
      </c>
      <c r="P187" s="366">
        <f t="shared" si="333"/>
        <v>0</v>
      </c>
    </row>
    <row r="188" spans="2:21" ht="14.65" customHeight="1" thickBot="1" x14ac:dyDescent="0.3">
      <c r="B188" s="105"/>
      <c r="C188" s="320" t="s">
        <v>64</v>
      </c>
      <c r="D188" s="378"/>
      <c r="E188" s="378"/>
      <c r="F188" s="378"/>
      <c r="G188" s="378"/>
      <c r="H188" s="378"/>
      <c r="I188" s="378"/>
      <c r="J188" s="378"/>
      <c r="K188" s="378"/>
      <c r="L188" s="378"/>
      <c r="M188" s="378"/>
      <c r="N188" s="378"/>
      <c r="O188" s="378"/>
      <c r="P188" s="365">
        <f>SUM(D188:O188)</f>
        <v>0</v>
      </c>
    </row>
    <row r="189" spans="2:21" ht="14.65" customHeight="1" x14ac:dyDescent="0.25">
      <c r="B189" s="77"/>
      <c r="C189" s="110" t="s">
        <v>65</v>
      </c>
      <c r="D189" s="332"/>
      <c r="E189" s="332"/>
      <c r="F189" s="332"/>
      <c r="G189" s="332"/>
      <c r="H189" s="332"/>
      <c r="I189" s="332"/>
      <c r="J189" s="332"/>
      <c r="K189" s="332"/>
      <c r="L189" s="332"/>
      <c r="M189" s="332"/>
      <c r="N189" s="332"/>
      <c r="O189" s="332"/>
      <c r="P189" s="366">
        <f t="shared" si="333"/>
        <v>0</v>
      </c>
    </row>
    <row r="190" spans="2:21" ht="14.65" customHeight="1" x14ac:dyDescent="0.25">
      <c r="B190" s="77"/>
      <c r="C190" s="46" t="s">
        <v>66</v>
      </c>
      <c r="D190" s="385">
        <f>D189*$G$7</f>
        <v>0</v>
      </c>
      <c r="E190" s="385">
        <f t="shared" ref="E190" si="356">E189*$G$7</f>
        <v>0</v>
      </c>
      <c r="F190" s="385">
        <f t="shared" ref="F190" si="357">F189*$G$7</f>
        <v>0</v>
      </c>
      <c r="G190" s="385">
        <f t="shared" ref="G190" si="358">G189*$G$7</f>
        <v>0</v>
      </c>
      <c r="H190" s="385">
        <f t="shared" ref="H190" si="359">H189*$G$7</f>
        <v>0</v>
      </c>
      <c r="I190" s="385">
        <f t="shared" ref="I190" si="360">I189*$G$7</f>
        <v>0</v>
      </c>
      <c r="J190" s="385">
        <f t="shared" ref="J190" si="361">J189*$G$7</f>
        <v>0</v>
      </c>
      <c r="K190" s="385">
        <f t="shared" ref="K190" si="362">K189*$G$7</f>
        <v>0</v>
      </c>
      <c r="L190" s="385">
        <f t="shared" ref="L190" si="363">L189*$G$7</f>
        <v>0</v>
      </c>
      <c r="M190" s="385">
        <f t="shared" ref="M190" si="364">M189*$G$7</f>
        <v>0</v>
      </c>
      <c r="N190" s="385">
        <f t="shared" ref="N190" si="365">N189*$G$7</f>
        <v>0</v>
      </c>
      <c r="O190" s="385">
        <f t="shared" ref="O190" si="366">O189*$G$7</f>
        <v>0</v>
      </c>
      <c r="P190" s="366">
        <f t="shared" si="333"/>
        <v>0</v>
      </c>
    </row>
    <row r="191" spans="2:21" ht="14.65" customHeight="1" thickBot="1" x14ac:dyDescent="0.3">
      <c r="B191" s="105"/>
      <c r="C191" s="320" t="s">
        <v>67</v>
      </c>
      <c r="D191" s="378"/>
      <c r="E191" s="378"/>
      <c r="F191" s="378"/>
      <c r="G191" s="378"/>
      <c r="H191" s="378"/>
      <c r="I191" s="378"/>
      <c r="J191" s="378"/>
      <c r="K191" s="378"/>
      <c r="L191" s="378"/>
      <c r="M191" s="378"/>
      <c r="N191" s="378"/>
      <c r="O191" s="378"/>
      <c r="P191" s="365">
        <f>SUM(D191:O191)</f>
        <v>0</v>
      </c>
    </row>
    <row r="192" spans="2:21" ht="15.75" thickBot="1" x14ac:dyDescent="0.3">
      <c r="B192" s="77"/>
      <c r="C192" s="323" t="s">
        <v>68</v>
      </c>
      <c r="D192" s="380">
        <f>D187+D188+D184+D185+D190+D191+D181+D182</f>
        <v>0</v>
      </c>
      <c r="E192" s="380">
        <f t="shared" ref="E192:O192" si="367">E187+E188+E184+E185+E190+E191+E181+E182</f>
        <v>0</v>
      </c>
      <c r="F192" s="380">
        <f t="shared" si="367"/>
        <v>0</v>
      </c>
      <c r="G192" s="380">
        <f t="shared" si="367"/>
        <v>0</v>
      </c>
      <c r="H192" s="380">
        <f t="shared" si="367"/>
        <v>0</v>
      </c>
      <c r="I192" s="380">
        <f t="shared" si="367"/>
        <v>0</v>
      </c>
      <c r="J192" s="380">
        <f t="shared" si="367"/>
        <v>0</v>
      </c>
      <c r="K192" s="380">
        <f t="shared" si="367"/>
        <v>0</v>
      </c>
      <c r="L192" s="380">
        <f t="shared" si="367"/>
        <v>0</v>
      </c>
      <c r="M192" s="380">
        <f t="shared" si="367"/>
        <v>0</v>
      </c>
      <c r="N192" s="380">
        <f t="shared" si="367"/>
        <v>0</v>
      </c>
      <c r="O192" s="380">
        <f t="shared" si="367"/>
        <v>0</v>
      </c>
      <c r="P192" s="383">
        <f>SUM(D192:O192)</f>
        <v>0</v>
      </c>
    </row>
    <row r="193" spans="2:17" ht="15.75" x14ac:dyDescent="0.25">
      <c r="B193" s="105"/>
      <c r="C193" s="321" t="s">
        <v>69</v>
      </c>
      <c r="D193" s="369"/>
      <c r="E193" s="369"/>
      <c r="F193" s="369"/>
      <c r="G193" s="369"/>
      <c r="H193" s="369"/>
      <c r="I193" s="369"/>
      <c r="J193" s="369"/>
      <c r="K193" s="369"/>
      <c r="L193" s="369"/>
      <c r="M193" s="369"/>
      <c r="N193" s="369"/>
      <c r="O193" s="369"/>
      <c r="P193" s="382">
        <f t="shared" ref="P193:P200" si="368">SUM(D193:O193)</f>
        <v>0</v>
      </c>
      <c r="Q193" s="73"/>
    </row>
    <row r="194" spans="2:17" x14ac:dyDescent="0.25">
      <c r="B194" s="105"/>
      <c r="C194" s="92" t="s">
        <v>70</v>
      </c>
      <c r="D194" s="385">
        <f>D193*$G$8</f>
        <v>0</v>
      </c>
      <c r="E194" s="385">
        <f t="shared" ref="E194" si="369">E193*$G$8</f>
        <v>0</v>
      </c>
      <c r="F194" s="385">
        <f t="shared" ref="F194" si="370">F193*$G$8</f>
        <v>0</v>
      </c>
      <c r="G194" s="385">
        <f t="shared" ref="G194" si="371">G193*$G$8</f>
        <v>0</v>
      </c>
      <c r="H194" s="385">
        <f t="shared" ref="H194" si="372">H193*$G$8</f>
        <v>0</v>
      </c>
      <c r="I194" s="385">
        <f t="shared" ref="I194" si="373">I193*$G$8</f>
        <v>0</v>
      </c>
      <c r="J194" s="385">
        <f t="shared" ref="J194" si="374">J193*$G$8</f>
        <v>0</v>
      </c>
      <c r="K194" s="385">
        <f t="shared" ref="K194" si="375">K193*$G$8</f>
        <v>0</v>
      </c>
      <c r="L194" s="385">
        <f t="shared" ref="L194" si="376">L193*$G$8</f>
        <v>0</v>
      </c>
      <c r="M194" s="385">
        <f t="shared" ref="M194" si="377">M193*$G$8</f>
        <v>0</v>
      </c>
      <c r="N194" s="385">
        <f t="shared" ref="N194" si="378">N193*$G$8</f>
        <v>0</v>
      </c>
      <c r="O194" s="385">
        <f t="shared" ref="O194" si="379">O193*$G$8</f>
        <v>0</v>
      </c>
      <c r="P194" s="366">
        <f t="shared" si="368"/>
        <v>0</v>
      </c>
      <c r="Q194" s="73"/>
    </row>
    <row r="195" spans="2:17" ht="15.75" thickBot="1" x14ac:dyDescent="0.3">
      <c r="B195" s="105"/>
      <c r="C195" s="265" t="s">
        <v>71</v>
      </c>
      <c r="D195" s="378"/>
      <c r="E195" s="378"/>
      <c r="F195" s="378"/>
      <c r="G195" s="378"/>
      <c r="H195" s="378"/>
      <c r="I195" s="378"/>
      <c r="J195" s="378"/>
      <c r="K195" s="378"/>
      <c r="L195" s="378"/>
      <c r="M195" s="378"/>
      <c r="N195" s="378"/>
      <c r="O195" s="378"/>
      <c r="P195" s="365">
        <f>SUM(D195:O195)</f>
        <v>0</v>
      </c>
      <c r="Q195" s="73"/>
    </row>
    <row r="196" spans="2:17" ht="15.75" x14ac:dyDescent="0.25">
      <c r="B196" s="105"/>
      <c r="C196" s="321" t="s">
        <v>72</v>
      </c>
      <c r="D196" s="332"/>
      <c r="E196" s="332"/>
      <c r="F196" s="332"/>
      <c r="G196" s="332"/>
      <c r="H196" s="332"/>
      <c r="I196" s="332"/>
      <c r="J196" s="332"/>
      <c r="K196" s="332"/>
      <c r="L196" s="332"/>
      <c r="M196" s="332"/>
      <c r="N196" s="332"/>
      <c r="O196" s="332"/>
      <c r="P196" s="366">
        <f t="shared" si="368"/>
        <v>0</v>
      </c>
      <c r="Q196" s="73"/>
    </row>
    <row r="197" spans="2:17" ht="14.65" customHeight="1" x14ac:dyDescent="0.25">
      <c r="B197" s="77"/>
      <c r="C197" s="92" t="s">
        <v>73</v>
      </c>
      <c r="D197" s="385">
        <f>D196*$G$8</f>
        <v>0</v>
      </c>
      <c r="E197" s="385">
        <f t="shared" ref="E197" si="380">E196*$G$8</f>
        <v>0</v>
      </c>
      <c r="F197" s="385">
        <f t="shared" ref="F197" si="381">F196*$G$8</f>
        <v>0</v>
      </c>
      <c r="G197" s="385">
        <f t="shared" ref="G197" si="382">G196*$G$8</f>
        <v>0</v>
      </c>
      <c r="H197" s="385">
        <f t="shared" ref="H197" si="383">H196*$G$8</f>
        <v>0</v>
      </c>
      <c r="I197" s="385">
        <f t="shared" ref="I197" si="384">I196*$G$8</f>
        <v>0</v>
      </c>
      <c r="J197" s="385">
        <f t="shared" ref="J197" si="385">J196*$G$8</f>
        <v>0</v>
      </c>
      <c r="K197" s="385">
        <f t="shared" ref="K197" si="386">K196*$G$8</f>
        <v>0</v>
      </c>
      <c r="L197" s="385">
        <f t="shared" ref="L197" si="387">L196*$G$8</f>
        <v>0</v>
      </c>
      <c r="M197" s="385">
        <f t="shared" ref="M197" si="388">M196*$G$8</f>
        <v>0</v>
      </c>
      <c r="N197" s="385">
        <f t="shared" ref="N197" si="389">N196*$G$8</f>
        <v>0</v>
      </c>
      <c r="O197" s="385">
        <f t="shared" ref="O197" si="390">O196*$G$8</f>
        <v>0</v>
      </c>
      <c r="P197" s="382">
        <f t="shared" si="368"/>
        <v>0</v>
      </c>
    </row>
    <row r="198" spans="2:17" ht="14.65" customHeight="1" thickBot="1" x14ac:dyDescent="0.3">
      <c r="B198" s="105"/>
      <c r="C198" s="265" t="s">
        <v>74</v>
      </c>
      <c r="D198" s="378"/>
      <c r="E198" s="378"/>
      <c r="F198" s="378"/>
      <c r="G198" s="378"/>
      <c r="H198" s="378"/>
      <c r="I198" s="378"/>
      <c r="J198" s="378"/>
      <c r="K198" s="378"/>
      <c r="L198" s="378"/>
      <c r="M198" s="378"/>
      <c r="N198" s="378"/>
      <c r="O198" s="378"/>
      <c r="P198" s="365">
        <f>SUM(D198:O198)</f>
        <v>0</v>
      </c>
    </row>
    <row r="199" spans="2:17" ht="14.65" customHeight="1" thickBot="1" x14ac:dyDescent="0.3">
      <c r="B199" s="77"/>
      <c r="C199" s="324" t="s">
        <v>75</v>
      </c>
      <c r="D199" s="380">
        <f>D194+D195+D197+D198</f>
        <v>0</v>
      </c>
      <c r="E199" s="380">
        <f t="shared" ref="E199:O199" si="391">E194+E195+E197+E198</f>
        <v>0</v>
      </c>
      <c r="F199" s="380">
        <f t="shared" si="391"/>
        <v>0</v>
      </c>
      <c r="G199" s="380">
        <f t="shared" si="391"/>
        <v>0</v>
      </c>
      <c r="H199" s="380">
        <f t="shared" si="391"/>
        <v>0</v>
      </c>
      <c r="I199" s="380">
        <f t="shared" si="391"/>
        <v>0</v>
      </c>
      <c r="J199" s="380">
        <f t="shared" si="391"/>
        <v>0</v>
      </c>
      <c r="K199" s="380">
        <f t="shared" si="391"/>
        <v>0</v>
      </c>
      <c r="L199" s="380">
        <f t="shared" si="391"/>
        <v>0</v>
      </c>
      <c r="M199" s="380">
        <f t="shared" si="391"/>
        <v>0</v>
      </c>
      <c r="N199" s="380">
        <f t="shared" si="391"/>
        <v>0</v>
      </c>
      <c r="O199" s="380">
        <f t="shared" si="391"/>
        <v>0</v>
      </c>
      <c r="P199" s="383">
        <f t="shared" si="368"/>
        <v>0</v>
      </c>
    </row>
    <row r="200" spans="2:17" ht="15.75" thickBot="1" x14ac:dyDescent="0.3">
      <c r="B200" s="77"/>
      <c r="C200" s="323" t="s">
        <v>76</v>
      </c>
      <c r="D200" s="386">
        <f t="shared" ref="D200:O200" si="392">D192+D199</f>
        <v>0</v>
      </c>
      <c r="E200" s="386">
        <f t="shared" si="392"/>
        <v>0</v>
      </c>
      <c r="F200" s="386">
        <f t="shared" si="392"/>
        <v>0</v>
      </c>
      <c r="G200" s="386">
        <f t="shared" si="392"/>
        <v>0</v>
      </c>
      <c r="H200" s="386">
        <f t="shared" si="392"/>
        <v>0</v>
      </c>
      <c r="I200" s="386">
        <f t="shared" si="392"/>
        <v>0</v>
      </c>
      <c r="J200" s="386">
        <f t="shared" si="392"/>
        <v>0</v>
      </c>
      <c r="K200" s="386">
        <f t="shared" si="392"/>
        <v>0</v>
      </c>
      <c r="L200" s="386">
        <f t="shared" si="392"/>
        <v>0</v>
      </c>
      <c r="M200" s="386">
        <f t="shared" si="392"/>
        <v>0</v>
      </c>
      <c r="N200" s="386">
        <f t="shared" si="392"/>
        <v>0</v>
      </c>
      <c r="O200" s="386">
        <f t="shared" si="392"/>
        <v>0</v>
      </c>
      <c r="P200" s="383">
        <f t="shared" si="368"/>
        <v>0</v>
      </c>
    </row>
    <row r="201" spans="2:17" x14ac:dyDescent="0.25">
      <c r="B201" s="77"/>
      <c r="C201" s="325" t="s">
        <v>359</v>
      </c>
      <c r="D201" s="513"/>
      <c r="E201" s="513"/>
      <c r="F201" s="513"/>
      <c r="G201" s="513"/>
      <c r="H201" s="513"/>
      <c r="I201" s="513"/>
      <c r="J201" s="513"/>
      <c r="K201" s="513"/>
      <c r="L201" s="513"/>
      <c r="M201" s="513"/>
      <c r="N201" s="513"/>
      <c r="O201" s="513"/>
      <c r="P201" s="350" t="e">
        <f>P200/b_2028</f>
        <v>#DIV/0!</v>
      </c>
    </row>
    <row r="202" spans="2:17" ht="15.75" thickBot="1" x14ac:dyDescent="0.3">
      <c r="B202" s="91"/>
      <c r="C202" s="163" t="s">
        <v>77</v>
      </c>
      <c r="D202" s="381" t="e">
        <f t="shared" ref="D202:P202" si="393">D192/D200</f>
        <v>#DIV/0!</v>
      </c>
      <c r="E202" s="381" t="e">
        <f t="shared" si="393"/>
        <v>#DIV/0!</v>
      </c>
      <c r="F202" s="381" t="e">
        <f t="shared" si="393"/>
        <v>#DIV/0!</v>
      </c>
      <c r="G202" s="381" t="e">
        <f t="shared" si="393"/>
        <v>#DIV/0!</v>
      </c>
      <c r="H202" s="381" t="e">
        <f t="shared" si="393"/>
        <v>#DIV/0!</v>
      </c>
      <c r="I202" s="381" t="e">
        <f t="shared" si="393"/>
        <v>#DIV/0!</v>
      </c>
      <c r="J202" s="381" t="e">
        <f t="shared" si="393"/>
        <v>#DIV/0!</v>
      </c>
      <c r="K202" s="381" t="e">
        <f t="shared" si="393"/>
        <v>#DIV/0!</v>
      </c>
      <c r="L202" s="381" t="e">
        <f t="shared" si="393"/>
        <v>#DIV/0!</v>
      </c>
      <c r="M202" s="381" t="e">
        <f t="shared" si="393"/>
        <v>#DIV/0!</v>
      </c>
      <c r="N202" s="381" t="e">
        <f t="shared" si="393"/>
        <v>#DIV/0!</v>
      </c>
      <c r="O202" s="381" t="e">
        <f t="shared" si="393"/>
        <v>#DIV/0!</v>
      </c>
      <c r="P202" s="384" t="e">
        <f t="shared" si="393"/>
        <v>#DIV/0!</v>
      </c>
      <c r="Q202" s="97"/>
    </row>
  </sheetData>
  <mergeCells count="108">
    <mergeCell ref="C124:C125"/>
    <mergeCell ref="C151:C152"/>
    <mergeCell ref="C178:C179"/>
    <mergeCell ref="B11:C11"/>
    <mergeCell ref="B70:B71"/>
    <mergeCell ref="C16:C17"/>
    <mergeCell ref="C43:C44"/>
    <mergeCell ref="C70:C71"/>
    <mergeCell ref="C97:C98"/>
    <mergeCell ref="B124:B125"/>
    <mergeCell ref="B16:B17"/>
    <mergeCell ref="B43:B44"/>
    <mergeCell ref="B151:B152"/>
    <mergeCell ref="B97:B98"/>
    <mergeCell ref="D178:D179"/>
    <mergeCell ref="E178:E179"/>
    <mergeCell ref="F178:F179"/>
    <mergeCell ref="G178:G179"/>
    <mergeCell ref="H178:H179"/>
    <mergeCell ref="P178:P179"/>
    <mergeCell ref="B178:B179"/>
    <mergeCell ref="I178:I179"/>
    <mergeCell ref="J178:J179"/>
    <mergeCell ref="K178:K179"/>
    <mergeCell ref="L178:L179"/>
    <mergeCell ref="M178:M179"/>
    <mergeCell ref="N178:N179"/>
    <mergeCell ref="O178:O179"/>
    <mergeCell ref="D151:D152"/>
    <mergeCell ref="E151:E152"/>
    <mergeCell ref="F151:F152"/>
    <mergeCell ref="G151:G152"/>
    <mergeCell ref="H151:H152"/>
    <mergeCell ref="K151:K152"/>
    <mergeCell ref="L151:L152"/>
    <mergeCell ref="M151:M152"/>
    <mergeCell ref="N151:N152"/>
    <mergeCell ref="O151:O152"/>
    <mergeCell ref="P151:P152"/>
    <mergeCell ref="I151:I152"/>
    <mergeCell ref="J151:J152"/>
    <mergeCell ref="D124:D125"/>
    <mergeCell ref="E124:E125"/>
    <mergeCell ref="P97:P98"/>
    <mergeCell ref="P124:P125"/>
    <mergeCell ref="F124:F125"/>
    <mergeCell ref="G124:G125"/>
    <mergeCell ref="H124:H125"/>
    <mergeCell ref="I124:I125"/>
    <mergeCell ref="J124:J125"/>
    <mergeCell ref="K124:K125"/>
    <mergeCell ref="L124:L125"/>
    <mergeCell ref="M124:M125"/>
    <mergeCell ref="N124:N125"/>
    <mergeCell ref="O124:O125"/>
    <mergeCell ref="K97:K98"/>
    <mergeCell ref="L97:L98"/>
    <mergeCell ref="M97:M98"/>
    <mergeCell ref="N97:N98"/>
    <mergeCell ref="O97:O98"/>
    <mergeCell ref="D97:D98"/>
    <mergeCell ref="E97:E98"/>
    <mergeCell ref="F97:F98"/>
    <mergeCell ref="G97:G98"/>
    <mergeCell ref="H97:H98"/>
    <mergeCell ref="I97:I98"/>
    <mergeCell ref="J97:J98"/>
    <mergeCell ref="E70:E71"/>
    <mergeCell ref="F70:F71"/>
    <mergeCell ref="G70:G71"/>
    <mergeCell ref="H70:H71"/>
    <mergeCell ref="I70:I71"/>
    <mergeCell ref="J70:J71"/>
    <mergeCell ref="I43:I44"/>
    <mergeCell ref="K43:K44"/>
    <mergeCell ref="P43:P44"/>
    <mergeCell ref="L43:L44"/>
    <mergeCell ref="M43:M44"/>
    <mergeCell ref="P70:P71"/>
    <mergeCell ref="N70:N71"/>
    <mergeCell ref="O70:O71"/>
    <mergeCell ref="K70:K71"/>
    <mergeCell ref="L70:L71"/>
    <mergeCell ref="M70:M71"/>
    <mergeCell ref="B3:P3"/>
    <mergeCell ref="B9:P9"/>
    <mergeCell ref="D70:D71"/>
    <mergeCell ref="P16:P17"/>
    <mergeCell ref="D16:D17"/>
    <mergeCell ref="E16:E17"/>
    <mergeCell ref="F16:F17"/>
    <mergeCell ref="G16:G17"/>
    <mergeCell ref="H16:H17"/>
    <mergeCell ref="I16:I17"/>
    <mergeCell ref="J16:J17"/>
    <mergeCell ref="K16:K17"/>
    <mergeCell ref="L16:L17"/>
    <mergeCell ref="M16:M17"/>
    <mergeCell ref="D43:D44"/>
    <mergeCell ref="E43:E44"/>
    <mergeCell ref="F43:F44"/>
    <mergeCell ref="G43:G44"/>
    <mergeCell ref="H43:H44"/>
    <mergeCell ref="N16:N17"/>
    <mergeCell ref="O16:O17"/>
    <mergeCell ref="N43:N44"/>
    <mergeCell ref="O43:O44"/>
    <mergeCell ref="J43:J44"/>
  </mergeCells>
  <pageMargins left="0.70866141732283472" right="0.70866141732283472" top="0.74803149606299213" bottom="0.74803149606299213" header="0.31496062992125984" footer="0.31496062992125984"/>
  <pageSetup paperSize="9" scale="66" fitToHeight="6" orientation="landscape"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D3160-04CB-4F9C-858C-411F39186378}">
  <sheetPr>
    <tabColor rgb="FFFCBA12"/>
    <pageSetUpPr fitToPage="1"/>
  </sheetPr>
  <dimension ref="A1:L55"/>
  <sheetViews>
    <sheetView showGridLines="0" zoomScaleNormal="100" workbookViewId="0">
      <pane xSplit="1" ySplit="1" topLeftCell="B44" activePane="bottomRight" state="frozen"/>
      <selection pane="topRight" activeCell="B1" sqref="B1"/>
      <selection pane="bottomLeft" activeCell="A2" sqref="A2"/>
      <selection pane="bottomRight" activeCell="F51" sqref="F51"/>
    </sheetView>
  </sheetViews>
  <sheetFormatPr defaultRowHeight="15" x14ac:dyDescent="0.25"/>
  <cols>
    <col min="1" max="1" width="2.5703125" customWidth="1"/>
    <col min="2" max="2" width="50.140625" style="3" customWidth="1"/>
    <col min="3" max="9" width="9.28515625" style="3"/>
  </cols>
  <sheetData>
    <row r="1" spans="1:12" ht="18.75" x14ac:dyDescent="0.3">
      <c r="B1" s="75" t="s">
        <v>78</v>
      </c>
    </row>
    <row r="2" spans="1:12" ht="15" customHeight="1" x14ac:dyDescent="0.3">
      <c r="B2" s="75"/>
    </row>
    <row r="3" spans="1:12" ht="53.65" customHeight="1" x14ac:dyDescent="0.25">
      <c r="B3" s="570" t="s">
        <v>473</v>
      </c>
      <c r="C3" s="579"/>
      <c r="D3" s="579"/>
      <c r="E3" s="579"/>
      <c r="F3" s="579"/>
      <c r="G3" s="579"/>
      <c r="H3" s="579"/>
      <c r="I3" s="580"/>
      <c r="L3" s="49"/>
    </row>
    <row r="4" spans="1:12" ht="14.65" customHeight="1" x14ac:dyDescent="0.25">
      <c r="A4" s="14"/>
      <c r="B4"/>
      <c r="C4" s="41"/>
      <c r="D4" s="41"/>
      <c r="E4" s="41"/>
      <c r="F4" s="41"/>
      <c r="G4" s="41"/>
      <c r="H4" s="41"/>
    </row>
    <row r="5" spans="1:12" x14ac:dyDescent="0.25">
      <c r="A5" s="5"/>
    </row>
    <row r="6" spans="1:12" x14ac:dyDescent="0.25">
      <c r="A6" s="5"/>
      <c r="B6" s="355" t="s">
        <v>4</v>
      </c>
    </row>
    <row r="7" spans="1:12" x14ac:dyDescent="0.25">
      <c r="B7" s="111"/>
    </row>
    <row r="8" spans="1:12" x14ac:dyDescent="0.25">
      <c r="B8" s="111" t="s">
        <v>79</v>
      </c>
    </row>
    <row r="9" spans="1:12" x14ac:dyDescent="0.25">
      <c r="C9" s="40">
        <f>ÜLDANDMED!C10</f>
        <v>2022</v>
      </c>
      <c r="D9" s="40">
        <f>ÜLDANDMED!D10</f>
        <v>2023</v>
      </c>
      <c r="E9" s="40">
        <f>ÜLDANDMED!E10</f>
        <v>2024</v>
      </c>
      <c r="F9" s="40">
        <f>ÜLDANDMED!F10</f>
        <v>2025</v>
      </c>
      <c r="G9" s="40">
        <f>ÜLDANDMED!G10</f>
        <v>2026</v>
      </c>
      <c r="H9" s="40">
        <f>ÜLDANDMED!H10</f>
        <v>2027</v>
      </c>
      <c r="I9" s="40">
        <f>ÜLDANDMED!I10</f>
        <v>2028</v>
      </c>
    </row>
    <row r="10" spans="1:12" x14ac:dyDescent="0.25">
      <c r="B10" s="266" t="s">
        <v>355</v>
      </c>
      <c r="C10" s="387">
        <f>ELEKTER!P12</f>
        <v>0</v>
      </c>
      <c r="D10" s="387">
        <f>ELEKTER!P17</f>
        <v>0</v>
      </c>
      <c r="E10" s="387">
        <f>ELEKTER!P22</f>
        <v>0</v>
      </c>
      <c r="F10" s="387">
        <f>ELEKTER!P27</f>
        <v>0</v>
      </c>
      <c r="G10" s="387">
        <f>ELEKTER!P32</f>
        <v>0</v>
      </c>
      <c r="H10" s="387">
        <f>ELEKTER!P37</f>
        <v>0</v>
      </c>
      <c r="I10" s="387">
        <f>ELEKTER!P42</f>
        <v>0</v>
      </c>
    </row>
    <row r="11" spans="1:12" x14ac:dyDescent="0.25">
      <c r="B11" s="266" t="s">
        <v>28</v>
      </c>
      <c r="C11" s="387">
        <f>ELEKTER!P14</f>
        <v>0</v>
      </c>
      <c r="D11" s="387">
        <f>ELEKTER!P19</f>
        <v>0</v>
      </c>
      <c r="E11" s="387">
        <f>ELEKTER!P24</f>
        <v>0</v>
      </c>
      <c r="F11" s="387">
        <f>ELEKTER!P29</f>
        <v>0</v>
      </c>
      <c r="G11" s="387">
        <f>ELEKTER!P34</f>
        <v>0</v>
      </c>
      <c r="H11" s="387">
        <f>ELEKTER!P39</f>
        <v>0</v>
      </c>
      <c r="I11" s="387">
        <f>ELEKTER!P44</f>
        <v>0</v>
      </c>
    </row>
    <row r="12" spans="1:12" ht="14.65" customHeight="1" x14ac:dyDescent="0.25">
      <c r="B12" s="113" t="s">
        <v>80</v>
      </c>
      <c r="C12" s="387">
        <f>ELEKTER!P15</f>
        <v>0</v>
      </c>
      <c r="D12" s="387">
        <f>ELEKTER!P20</f>
        <v>0</v>
      </c>
      <c r="E12" s="387">
        <f>ELEKTER!P25</f>
        <v>0</v>
      </c>
      <c r="F12" s="387">
        <f>ELEKTER!P30</f>
        <v>0</v>
      </c>
      <c r="G12" s="387">
        <f>ELEKTER!P35</f>
        <v>0</v>
      </c>
      <c r="H12" s="387">
        <f>ELEKTER!P40</f>
        <v>0</v>
      </c>
      <c r="I12" s="387">
        <f>ELEKTER!P45</f>
        <v>0</v>
      </c>
    </row>
    <row r="13" spans="1:12" x14ac:dyDescent="0.25">
      <c r="B13" s="103" t="s">
        <v>353</v>
      </c>
      <c r="C13" s="388" t="e">
        <f>ELEKTER!P16</f>
        <v>#DIV/0!</v>
      </c>
      <c r="D13" s="388" t="e">
        <f>ELEKTER!P21</f>
        <v>#DIV/0!</v>
      </c>
      <c r="E13" s="388" t="e">
        <f>ELEKTER!P26</f>
        <v>#DIV/0!</v>
      </c>
      <c r="F13" s="388" t="e">
        <f>ELEKTER!P31</f>
        <v>#DIV/0!</v>
      </c>
      <c r="G13" s="388" t="e">
        <f>ELEKTER!P36</f>
        <v>#DIV/0!</v>
      </c>
      <c r="H13" s="388" t="e">
        <f>ELEKTER!P41</f>
        <v>#DIV/0!</v>
      </c>
      <c r="I13" s="387" t="e">
        <f>ELEKTER!P46</f>
        <v>#DIV/0!</v>
      </c>
    </row>
    <row r="14" spans="1:12" x14ac:dyDescent="0.25">
      <c r="B14" s="6"/>
    </row>
    <row r="17" spans="2:9" ht="14.65" customHeight="1" x14ac:dyDescent="0.25"/>
    <row r="18" spans="2:9" x14ac:dyDescent="0.25">
      <c r="B18" s="111" t="s">
        <v>30</v>
      </c>
    </row>
    <row r="19" spans="2:9" x14ac:dyDescent="0.25">
      <c r="C19" s="40">
        <f>ÜLDANDMED!C10</f>
        <v>2022</v>
      </c>
      <c r="D19" s="40">
        <f>ÜLDANDMED!D10</f>
        <v>2023</v>
      </c>
      <c r="E19" s="40">
        <f>ÜLDANDMED!E10</f>
        <v>2024</v>
      </c>
      <c r="F19" s="40">
        <f>ÜLDANDMED!F10</f>
        <v>2025</v>
      </c>
      <c r="G19" s="40">
        <f>ÜLDANDMED!G10</f>
        <v>2026</v>
      </c>
      <c r="H19" s="40">
        <f>ÜLDANDMED!H10</f>
        <v>2027</v>
      </c>
      <c r="I19" s="40">
        <f>ÜLDANDMED!I10</f>
        <v>2028</v>
      </c>
    </row>
    <row r="20" spans="2:9" x14ac:dyDescent="0.25">
      <c r="B20" s="113" t="s">
        <v>356</v>
      </c>
      <c r="C20" s="387">
        <f>SOOJUS!P15</f>
        <v>0</v>
      </c>
      <c r="D20" s="387">
        <f>SOOJUS!P17</f>
        <v>0</v>
      </c>
      <c r="E20" s="387">
        <f>SOOJUS!P19</f>
        <v>0</v>
      </c>
      <c r="F20" s="387">
        <f>SOOJUS!P21</f>
        <v>0</v>
      </c>
      <c r="G20" s="387">
        <f>SOOJUS!P23</f>
        <v>0</v>
      </c>
      <c r="H20" s="387">
        <f>SOOJUS!P25</f>
        <v>0</v>
      </c>
      <c r="I20" s="387">
        <f>SOOJUS!P27</f>
        <v>0</v>
      </c>
    </row>
    <row r="21" spans="2:9" ht="15.75" x14ac:dyDescent="0.25">
      <c r="B21" s="103" t="s">
        <v>354</v>
      </c>
      <c r="C21" s="387" t="e">
        <f>SOOJUS!P16</f>
        <v>#DIV/0!</v>
      </c>
      <c r="D21" s="387" t="e">
        <f>SOOJUS!P18</f>
        <v>#DIV/0!</v>
      </c>
      <c r="E21" s="387" t="e">
        <f>SOOJUS!P20</f>
        <v>#DIV/0!</v>
      </c>
      <c r="F21" s="387" t="e">
        <f>SOOJUS!P22</f>
        <v>#DIV/0!</v>
      </c>
      <c r="G21" s="387" t="e">
        <f>SOOJUS!P24</f>
        <v>#DIV/0!</v>
      </c>
      <c r="H21" s="387" t="e">
        <f>SOOJUS!P26</f>
        <v>#DIV/0!</v>
      </c>
      <c r="I21" s="387" t="e">
        <f>SOOJUS!P28</f>
        <v>#DIV/0!</v>
      </c>
    </row>
    <row r="22" spans="2:9" ht="14.65" customHeight="1" x14ac:dyDescent="0.25"/>
    <row r="23" spans="2:9" ht="14.65" customHeight="1" x14ac:dyDescent="0.25"/>
    <row r="26" spans="2:9" x14ac:dyDescent="0.25">
      <c r="B26" s="111" t="s">
        <v>36</v>
      </c>
      <c r="C26" s="42"/>
      <c r="D26" s="42"/>
      <c r="E26" s="42"/>
      <c r="F26" s="42"/>
      <c r="G26" s="42"/>
      <c r="H26" s="42"/>
    </row>
    <row r="27" spans="2:9" ht="14.65" customHeight="1" x14ac:dyDescent="0.25">
      <c r="C27" s="40">
        <f>ÜLDANDMED!C10</f>
        <v>2022</v>
      </c>
      <c r="D27" s="40">
        <f>ÜLDANDMED!D10</f>
        <v>2023</v>
      </c>
      <c r="E27" s="40">
        <f>ÜLDANDMED!E10</f>
        <v>2024</v>
      </c>
      <c r="F27" s="40">
        <f>ÜLDANDMED!F10</f>
        <v>2025</v>
      </c>
      <c r="G27" s="40">
        <f>ÜLDANDMED!G10</f>
        <v>2026</v>
      </c>
      <c r="H27" s="40">
        <f>ÜLDANDMED!H10</f>
        <v>2027</v>
      </c>
      <c r="I27" s="40">
        <f>ÜLDANDMED!I10</f>
        <v>2028</v>
      </c>
    </row>
    <row r="28" spans="2:9" ht="14.65" customHeight="1" x14ac:dyDescent="0.25">
      <c r="B28" s="107" t="s">
        <v>357</v>
      </c>
      <c r="C28" s="389">
        <f>VESI!P12</f>
        <v>0</v>
      </c>
      <c r="D28" s="389">
        <f>VESI!P14</f>
        <v>0</v>
      </c>
      <c r="E28" s="389">
        <f>VESI!P16</f>
        <v>0</v>
      </c>
      <c r="F28" s="389">
        <f>VESI!P18</f>
        <v>0</v>
      </c>
      <c r="G28" s="389">
        <f>VESI!P20</f>
        <v>0</v>
      </c>
      <c r="H28" s="389">
        <f>VESI!P22</f>
        <v>0</v>
      </c>
      <c r="I28" s="387">
        <f>VESI!P24</f>
        <v>0</v>
      </c>
    </row>
    <row r="29" spans="2:9" ht="14.65" customHeight="1" x14ac:dyDescent="0.25">
      <c r="B29" s="107" t="s">
        <v>358</v>
      </c>
      <c r="C29" s="389" t="e">
        <f>VESI!P13</f>
        <v>#DIV/0!</v>
      </c>
      <c r="D29" s="389" t="e">
        <f>VESI!P15</f>
        <v>#DIV/0!</v>
      </c>
      <c r="E29" s="389" t="e">
        <f>VESI!P17</f>
        <v>#DIV/0!</v>
      </c>
      <c r="F29" s="389" t="e">
        <f>VESI!P19</f>
        <v>#DIV/0!</v>
      </c>
      <c r="G29" s="389" t="e">
        <f>VESI!P21</f>
        <v>#DIV/0!</v>
      </c>
      <c r="H29" s="389" t="e">
        <f>VESI!P23</f>
        <v>#DIV/0!</v>
      </c>
      <c r="I29" s="387" t="e">
        <f>VESI!P25</f>
        <v>#DIV/0!</v>
      </c>
    </row>
    <row r="30" spans="2:9" ht="14.65" customHeight="1" x14ac:dyDescent="0.25"/>
    <row r="34" spans="2:10" x14ac:dyDescent="0.25">
      <c r="B34" s="111" t="s">
        <v>38</v>
      </c>
    </row>
    <row r="35" spans="2:10" x14ac:dyDescent="0.25">
      <c r="C35" s="40">
        <f>ÜLDANDMED!C10</f>
        <v>2022</v>
      </c>
      <c r="D35" s="40">
        <f>ÜLDANDMED!D10</f>
        <v>2023</v>
      </c>
      <c r="E35" s="40">
        <f>ÜLDANDMED!E10</f>
        <v>2024</v>
      </c>
      <c r="F35" s="40">
        <f>ÜLDANDMED!F10</f>
        <v>2025</v>
      </c>
      <c r="G35" s="40">
        <f>ÜLDANDMED!G10</f>
        <v>2026</v>
      </c>
      <c r="H35" s="40">
        <f>ÜLDANDMED!H10</f>
        <v>2027</v>
      </c>
      <c r="I35" s="40">
        <f>ÜLDANDMED!I10</f>
        <v>2028</v>
      </c>
    </row>
    <row r="36" spans="2:10" ht="14.65" customHeight="1" x14ac:dyDescent="0.25">
      <c r="B36" s="113" t="s">
        <v>45</v>
      </c>
      <c r="C36" s="389">
        <f>PABER!D20</f>
        <v>0</v>
      </c>
      <c r="D36" s="389">
        <f>PABER!D28</f>
        <v>0</v>
      </c>
      <c r="E36" s="389">
        <f>PABER!D36</f>
        <v>0</v>
      </c>
      <c r="F36" s="389">
        <f>PABER!D44</f>
        <v>0</v>
      </c>
      <c r="G36" s="389">
        <f>PABER!D52</f>
        <v>0</v>
      </c>
      <c r="H36" s="389">
        <f>PABER!D60</f>
        <v>0</v>
      </c>
      <c r="I36" s="388">
        <f>PABER!D68</f>
        <v>0</v>
      </c>
    </row>
    <row r="37" spans="2:10" x14ac:dyDescent="0.25">
      <c r="B37" s="108" t="s">
        <v>44</v>
      </c>
      <c r="C37" s="389" t="e">
        <f>PABER!D19</f>
        <v>#DIV/0!</v>
      </c>
      <c r="D37" s="389" t="e">
        <f>PABER!D27</f>
        <v>#DIV/0!</v>
      </c>
      <c r="E37" s="389" t="e">
        <f>PABER!D35</f>
        <v>#DIV/0!</v>
      </c>
      <c r="F37" s="389" t="e">
        <f>PABER!D43</f>
        <v>#DIV/0!</v>
      </c>
      <c r="G37" s="389" t="e">
        <f>PABER!D51</f>
        <v>#DIV/0!</v>
      </c>
      <c r="H37" s="389" t="e">
        <f>PABER!D59</f>
        <v>#DIV/0!</v>
      </c>
      <c r="I37" s="388" t="e">
        <f>PABER!D67</f>
        <v>#DIV/0!</v>
      </c>
    </row>
    <row r="38" spans="2:10" x14ac:dyDescent="0.25">
      <c r="B38" s="108" t="s">
        <v>501</v>
      </c>
      <c r="C38" s="389">
        <f>PABER!D22+PABER!D24</f>
        <v>0</v>
      </c>
      <c r="D38" s="389">
        <f>PABER!D30+PABER!D32</f>
        <v>0</v>
      </c>
      <c r="E38" s="389">
        <f>PABER!D38+PABER!D40</f>
        <v>0</v>
      </c>
      <c r="F38" s="389">
        <f>PABER!D46+PABER!D48</f>
        <v>0</v>
      </c>
      <c r="G38" s="389">
        <f>PABER!D54+PABER!D56</f>
        <v>0</v>
      </c>
      <c r="H38" s="389">
        <f>PABER!D62+PABER!D64</f>
        <v>0</v>
      </c>
      <c r="I38" s="388">
        <f>PABER!D70+PABER!D72</f>
        <v>0</v>
      </c>
    </row>
    <row r="39" spans="2:10" ht="14.65" customHeight="1" x14ac:dyDescent="0.25"/>
    <row r="41" spans="2:10" x14ac:dyDescent="0.25">
      <c r="J41" s="49"/>
    </row>
    <row r="44" spans="2:10" ht="14.65" customHeight="1" x14ac:dyDescent="0.25">
      <c r="B44" s="111" t="s">
        <v>81</v>
      </c>
    </row>
    <row r="45" spans="2:10" ht="14.65" customHeight="1" x14ac:dyDescent="0.25">
      <c r="C45" s="40">
        <f>ÜLDANDMED!C10</f>
        <v>2022</v>
      </c>
      <c r="D45" s="40">
        <f>ÜLDANDMED!D10</f>
        <v>2023</v>
      </c>
      <c r="E45" s="40">
        <f>ÜLDANDMED!E10</f>
        <v>2024</v>
      </c>
      <c r="F45" s="40">
        <f>ÜLDANDMED!F10</f>
        <v>2025</v>
      </c>
      <c r="G45" s="40">
        <f>ÜLDANDMED!G10</f>
        <v>2026</v>
      </c>
      <c r="H45" s="40">
        <f>ÜLDANDMED!H10</f>
        <v>2027</v>
      </c>
      <c r="I45" s="40">
        <f>ÜLDANDMED!I10</f>
        <v>2028</v>
      </c>
    </row>
    <row r="46" spans="2:10" x14ac:dyDescent="0.25">
      <c r="B46" s="112" t="s">
        <v>58</v>
      </c>
      <c r="C46" s="388">
        <f>JÄÄTMED!P19+JÄÄTMED!P20</f>
        <v>0</v>
      </c>
      <c r="D46" s="388">
        <f>JÄÄTMED!P46+JÄÄTMED!P47</f>
        <v>0</v>
      </c>
      <c r="E46" s="388">
        <f>JÄÄTMED!P73+JÄÄTMED!P74</f>
        <v>0</v>
      </c>
      <c r="F46" s="388">
        <f>JÄÄTMED!P100+JÄÄTMED!P101</f>
        <v>0</v>
      </c>
      <c r="G46" s="388">
        <f>JÄÄTMED!P127+JÄÄTMED!P128</f>
        <v>0</v>
      </c>
      <c r="H46" s="388">
        <f>JÄÄTMED!P154+JÄÄTMED!P155</f>
        <v>0</v>
      </c>
      <c r="I46" s="387">
        <f>JÄÄTMED!P181+JÄÄTMED!P182</f>
        <v>0</v>
      </c>
    </row>
    <row r="47" spans="2:10" x14ac:dyDescent="0.25">
      <c r="B47" s="112" t="s">
        <v>61</v>
      </c>
      <c r="C47" s="388">
        <f>JÄÄTMED!P22+JÄÄTMED!P23</f>
        <v>0</v>
      </c>
      <c r="D47" s="388">
        <f>JÄÄTMED!P49+JÄÄTMED!P50</f>
        <v>0</v>
      </c>
      <c r="E47" s="388">
        <f>JÄÄTMED!P76+JÄÄTMED!P77</f>
        <v>0</v>
      </c>
      <c r="F47" s="388">
        <f>JÄÄTMED!P103+JÄÄTMED!P104</f>
        <v>0</v>
      </c>
      <c r="G47" s="388">
        <f>JÄÄTMED!P130+JÄÄTMED!P131</f>
        <v>0</v>
      </c>
      <c r="H47" s="388">
        <f>JÄÄTMED!P157+JÄÄTMED!P158</f>
        <v>0</v>
      </c>
      <c r="I47" s="388">
        <f>JÄÄTMED!P184+JÄÄTMED!P185</f>
        <v>0</v>
      </c>
    </row>
    <row r="48" spans="2:10" x14ac:dyDescent="0.25">
      <c r="B48" s="113" t="s">
        <v>64</v>
      </c>
      <c r="C48" s="388">
        <f>JÄÄTMED!P25+JÄÄTMED!P26</f>
        <v>0</v>
      </c>
      <c r="D48" s="388">
        <f>JÄÄTMED!P52+JÄÄTMED!P53</f>
        <v>0</v>
      </c>
      <c r="E48" s="388">
        <f>JÄÄTMED!P79+JÄÄTMED!P80</f>
        <v>0</v>
      </c>
      <c r="F48" s="388">
        <f>JÄÄTMED!P106+JÄÄTMED!P107</f>
        <v>0</v>
      </c>
      <c r="G48" s="388">
        <f>JÄÄTMED!P133+JÄÄTMED!P134</f>
        <v>0</v>
      </c>
      <c r="H48" s="388">
        <f>JÄÄTMED!P160+JÄÄTMED!P161</f>
        <v>0</v>
      </c>
      <c r="I48" s="387">
        <f>JÄÄTMED!P187+JÄÄTMED!P188</f>
        <v>0</v>
      </c>
    </row>
    <row r="49" spans="2:9" x14ac:dyDescent="0.25">
      <c r="B49" s="112" t="s">
        <v>82</v>
      </c>
      <c r="C49" s="388">
        <f>JÄÄTMED!P28+JÄÄTMED!P29</f>
        <v>0</v>
      </c>
      <c r="D49" s="388">
        <f>JÄÄTMED!P55+JÄÄTMED!P56</f>
        <v>0</v>
      </c>
      <c r="E49" s="388">
        <f>JÄÄTMED!P82+JÄÄTMED!P83</f>
        <v>0</v>
      </c>
      <c r="F49" s="388">
        <f>JÄÄTMED!P109+JÄÄTMED!P110</f>
        <v>0</v>
      </c>
      <c r="G49" s="388">
        <f>JÄÄTMED!P136+JÄÄTMED!P137</f>
        <v>0</v>
      </c>
      <c r="H49" s="388">
        <f>JÄÄTMED!P163+JÄÄTMED!P164</f>
        <v>0</v>
      </c>
      <c r="I49" s="387">
        <f>JÄÄTMED!P190+JÄÄTMED!P191</f>
        <v>0</v>
      </c>
    </row>
    <row r="50" spans="2:9" x14ac:dyDescent="0.25">
      <c r="B50" s="313" t="s">
        <v>83</v>
      </c>
      <c r="C50" s="390">
        <f>JÄÄTMED!P30</f>
        <v>0</v>
      </c>
      <c r="D50" s="390">
        <f>JÄÄTMED!P57</f>
        <v>0</v>
      </c>
      <c r="E50" s="390">
        <f>JÄÄTMED!P84</f>
        <v>0</v>
      </c>
      <c r="F50" s="390">
        <f>JÄÄTMED!P111</f>
        <v>0</v>
      </c>
      <c r="G50" s="390">
        <f>JÄÄTMED!P138</f>
        <v>0</v>
      </c>
      <c r="H50" s="390">
        <f>JÄÄTMED!P165</f>
        <v>0</v>
      </c>
      <c r="I50" s="390">
        <f>JÄÄTMED!P192</f>
        <v>0</v>
      </c>
    </row>
    <row r="51" spans="2:9" x14ac:dyDescent="0.25">
      <c r="B51" s="113" t="s">
        <v>84</v>
      </c>
      <c r="C51" s="388">
        <f>JÄÄTMED!P37</f>
        <v>0</v>
      </c>
      <c r="D51" s="388">
        <f>JÄÄTMED!P64</f>
        <v>0</v>
      </c>
      <c r="E51" s="388">
        <f>JÄÄTMED!P91</f>
        <v>0</v>
      </c>
      <c r="F51" s="388">
        <f>JÄÄTMED!P118</f>
        <v>0</v>
      </c>
      <c r="G51" s="388">
        <f>JÄÄTMED!P145</f>
        <v>0</v>
      </c>
      <c r="H51" s="388">
        <f>JÄÄTMED!P172</f>
        <v>0</v>
      </c>
      <c r="I51" s="387">
        <f>JÄÄTMED!P199</f>
        <v>0</v>
      </c>
    </row>
    <row r="52" spans="2:9" x14ac:dyDescent="0.25">
      <c r="B52" s="314" t="s">
        <v>85</v>
      </c>
      <c r="C52" s="389">
        <f>C50+C51</f>
        <v>0</v>
      </c>
      <c r="D52" s="389">
        <f t="shared" ref="D52:I52" si="0">D50+D51</f>
        <v>0</v>
      </c>
      <c r="E52" s="389">
        <f t="shared" si="0"/>
        <v>0</v>
      </c>
      <c r="F52" s="389">
        <f t="shared" si="0"/>
        <v>0</v>
      </c>
      <c r="G52" s="389">
        <f t="shared" si="0"/>
        <v>0</v>
      </c>
      <c r="H52" s="389">
        <f t="shared" si="0"/>
        <v>0</v>
      </c>
      <c r="I52" s="389">
        <f t="shared" si="0"/>
        <v>0</v>
      </c>
    </row>
    <row r="53" spans="2:9" x14ac:dyDescent="0.25">
      <c r="B53" s="315" t="s">
        <v>86</v>
      </c>
      <c r="C53" s="389">
        <f t="shared" ref="C53:I53" si="1">C52/1000</f>
        <v>0</v>
      </c>
      <c r="D53" s="389">
        <f t="shared" si="1"/>
        <v>0</v>
      </c>
      <c r="E53" s="389">
        <f t="shared" si="1"/>
        <v>0</v>
      </c>
      <c r="F53" s="389">
        <f t="shared" si="1"/>
        <v>0</v>
      </c>
      <c r="G53" s="389">
        <f t="shared" si="1"/>
        <v>0</v>
      </c>
      <c r="H53" s="389">
        <f t="shared" si="1"/>
        <v>0</v>
      </c>
      <c r="I53" s="389">
        <f t="shared" si="1"/>
        <v>0</v>
      </c>
    </row>
    <row r="54" spans="2:9" x14ac:dyDescent="0.25">
      <c r="B54" s="314" t="s">
        <v>359</v>
      </c>
      <c r="C54" s="389" t="e">
        <f>JÄÄTMED!P39</f>
        <v>#DIV/0!</v>
      </c>
      <c r="D54" s="389" t="e">
        <f>JÄÄTMED!P66</f>
        <v>#DIV/0!</v>
      </c>
      <c r="E54" s="389" t="e">
        <f>JÄÄTMED!P93</f>
        <v>#DIV/0!</v>
      </c>
      <c r="F54" s="389" t="e">
        <f>JÄÄTMED!P120</f>
        <v>#DIV/0!</v>
      </c>
      <c r="G54" s="389" t="e">
        <f>JÄÄTMED!P147</f>
        <v>#DIV/0!</v>
      </c>
      <c r="H54" s="389" t="e">
        <f>JÄÄTMED!P174</f>
        <v>#DIV/0!</v>
      </c>
      <c r="I54" s="389" t="e">
        <f>JÄÄTMED!P201</f>
        <v>#DIV/0!</v>
      </c>
    </row>
    <row r="55" spans="2:9" x14ac:dyDescent="0.25">
      <c r="B55" s="316" t="s">
        <v>77</v>
      </c>
      <c r="C55" s="391" t="e">
        <f>JÄÄTMED!P40</f>
        <v>#DIV/0!</v>
      </c>
      <c r="D55" s="392" t="e">
        <f>JÄÄTMED!P67</f>
        <v>#DIV/0!</v>
      </c>
      <c r="E55" s="392" t="e">
        <f>JÄÄTMED!P94</f>
        <v>#DIV/0!</v>
      </c>
      <c r="F55" s="392" t="e">
        <f>JÄÄTMED!P121</f>
        <v>#DIV/0!</v>
      </c>
      <c r="G55" s="392" t="e">
        <f>JÄÄTMED!P148</f>
        <v>#DIV/0!</v>
      </c>
      <c r="H55" s="392" t="e">
        <f>JÄÄTMED!P175</f>
        <v>#DIV/0!</v>
      </c>
      <c r="I55" s="393" t="e">
        <f>JÄÄTMED!P202</f>
        <v>#DIV/0!</v>
      </c>
    </row>
  </sheetData>
  <mergeCells count="1">
    <mergeCell ref="B3:I3"/>
  </mergeCells>
  <pageMargins left="0.70866141732283472" right="0.70866141732283472" top="0.74803149606299213" bottom="0.74803149606299213" header="0.31496062992125984" footer="0.31496062992125984"/>
  <pageSetup paperSize="9"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C9B50-E093-4341-83A2-DF5960AF8061}">
  <sheetPr>
    <tabColor rgb="FFFB8604"/>
    <pageSetUpPr fitToPage="1"/>
  </sheetPr>
  <dimension ref="A1:Q100"/>
  <sheetViews>
    <sheetView showGridLines="0" zoomScaleNormal="100" workbookViewId="0">
      <pane xSplit="1" ySplit="1" topLeftCell="B2" activePane="bottomRight" state="frozen"/>
      <selection pane="topRight" activeCell="B1" sqref="B1"/>
      <selection pane="bottomLeft" activeCell="A3" sqref="A3"/>
      <selection pane="bottomRight" sqref="A1:XFD1"/>
    </sheetView>
  </sheetViews>
  <sheetFormatPr defaultRowHeight="14.65" customHeight="1" x14ac:dyDescent="0.25"/>
  <cols>
    <col min="1" max="1" width="2.5703125" customWidth="1"/>
    <col min="2" max="2" width="7.5703125" customWidth="1"/>
    <col min="3" max="3" width="51.7109375" style="3" bestFit="1" customWidth="1"/>
    <col min="4" max="4" width="15.7109375" style="68" customWidth="1"/>
    <col min="5" max="5" width="15.7109375" customWidth="1"/>
    <col min="6" max="6" width="8.7109375" customWidth="1"/>
  </cols>
  <sheetData>
    <row r="1" spans="1:17" ht="18.600000000000001" customHeight="1" x14ac:dyDescent="0.35">
      <c r="B1" s="28" t="s">
        <v>360</v>
      </c>
      <c r="C1" s="78"/>
    </row>
    <row r="2" spans="1:17" ht="14.65" customHeight="1" x14ac:dyDescent="0.3">
      <c r="B2" s="22"/>
      <c r="C2" s="79"/>
    </row>
    <row r="3" spans="1:17" ht="129.75" customHeight="1" x14ac:dyDescent="0.25">
      <c r="B3" s="570" t="s">
        <v>488</v>
      </c>
      <c r="C3" s="579"/>
      <c r="D3" s="579"/>
      <c r="E3" s="580"/>
    </row>
    <row r="5" spans="1:17" ht="14.65" customHeight="1" x14ac:dyDescent="0.25">
      <c r="B5" s="60" t="s">
        <v>2</v>
      </c>
      <c r="C5" s="80"/>
    </row>
    <row r="6" spans="1:17" ht="14.65" customHeight="1" x14ac:dyDescent="0.25">
      <c r="C6" s="377" t="s">
        <v>3</v>
      </c>
    </row>
    <row r="7" spans="1:17" ht="14.65" customHeight="1" x14ac:dyDescent="0.25">
      <c r="A7" s="1"/>
      <c r="B7" s="3"/>
      <c r="C7" s="339" t="s">
        <v>4</v>
      </c>
      <c r="D7" s="24"/>
      <c r="E7" s="3"/>
      <c r="F7" s="3"/>
      <c r="G7" s="24"/>
      <c r="H7" s="24"/>
      <c r="I7" s="24"/>
      <c r="J7" s="24"/>
      <c r="K7" s="24"/>
      <c r="L7" s="24"/>
      <c r="M7" s="24"/>
      <c r="N7" s="24"/>
      <c r="O7" s="24"/>
      <c r="P7" s="57"/>
      <c r="Q7" s="18"/>
    </row>
    <row r="8" spans="1:17" ht="14.65" customHeight="1" thickBot="1" x14ac:dyDescent="0.3"/>
    <row r="9" spans="1:17" ht="14.65" customHeight="1" x14ac:dyDescent="0.25">
      <c r="B9" s="603" t="s">
        <v>9</v>
      </c>
      <c r="C9" s="603" t="s">
        <v>10</v>
      </c>
      <c r="D9" s="647" t="s">
        <v>87</v>
      </c>
      <c r="E9" s="623" t="s">
        <v>88</v>
      </c>
    </row>
    <row r="10" spans="1:17" ht="14.65" customHeight="1" thickBot="1" x14ac:dyDescent="0.3">
      <c r="B10" s="605"/>
      <c r="C10" s="605"/>
      <c r="D10" s="648"/>
      <c r="E10" s="649"/>
    </row>
    <row r="11" spans="1:17" ht="14.65" customHeight="1" x14ac:dyDescent="0.25">
      <c r="B11" s="128">
        <f>ÜLDANDMED!C10</f>
        <v>2022</v>
      </c>
      <c r="C11" s="76" t="s">
        <v>367</v>
      </c>
      <c r="D11" s="244"/>
      <c r="E11" s="245"/>
    </row>
    <row r="12" spans="1:17" ht="14.65" customHeight="1" x14ac:dyDescent="0.25">
      <c r="B12" s="77"/>
      <c r="C12" s="71" t="s">
        <v>89</v>
      </c>
      <c r="D12" s="397"/>
      <c r="E12" s="394">
        <f>'KHG_OMA SÕIDUKID M1'!D12*kütus_bensiin_sõiduauto_2022/1000</f>
        <v>0</v>
      </c>
    </row>
    <row r="13" spans="1:17" ht="14.65" customHeight="1" x14ac:dyDescent="0.25">
      <c r="B13" s="77"/>
      <c r="C13" s="71" t="s">
        <v>90</v>
      </c>
      <c r="D13" s="397"/>
      <c r="E13" s="394">
        <f>'KHG_OMA SÕIDUKID M1'!D13*kütus_diisel_sõiduauto_2022/1000</f>
        <v>0</v>
      </c>
    </row>
    <row r="14" spans="1:17" ht="14.65" customHeight="1" x14ac:dyDescent="0.25">
      <c r="B14" s="77"/>
      <c r="C14" s="71" t="s">
        <v>91</v>
      </c>
      <c r="D14" s="397"/>
      <c r="E14" s="394">
        <f>'KHG_OMA SÕIDUKID M1'!D14*kütus_bioCNG_sõiduauto_2022/1000</f>
        <v>0</v>
      </c>
    </row>
    <row r="15" spans="1:17" ht="14.65" customHeight="1" x14ac:dyDescent="0.25">
      <c r="B15" s="77"/>
      <c r="C15" s="71" t="s">
        <v>92</v>
      </c>
      <c r="D15" s="397"/>
      <c r="E15" s="394">
        <f>'KHG_OMA SÕIDUKID M1'!D15*kütus_CNG_sõiduauto_2022/1000</f>
        <v>0</v>
      </c>
    </row>
    <row r="16" spans="1:17" ht="14.65" customHeight="1" x14ac:dyDescent="0.25">
      <c r="B16" s="77"/>
      <c r="C16" s="81" t="s">
        <v>93</v>
      </c>
      <c r="D16" s="397"/>
      <c r="E16" s="394">
        <f>'KHG_OMA SÕIDUKID M1'!D16*kütus_taastuvelekter/1000</f>
        <v>0</v>
      </c>
    </row>
    <row r="17" spans="2:5" ht="14.65" customHeight="1" thickBot="1" x14ac:dyDescent="0.3">
      <c r="B17" s="77"/>
      <c r="C17" s="218" t="s">
        <v>94</v>
      </c>
      <c r="D17" s="397"/>
      <c r="E17" s="394">
        <f>'KHG_OMA SÕIDUKID M1'!D17*segajääk_2022/1000</f>
        <v>0</v>
      </c>
    </row>
    <row r="18" spans="2:5" ht="14.65" customHeight="1" x14ac:dyDescent="0.25">
      <c r="B18" s="77"/>
      <c r="C18" s="76" t="s">
        <v>368</v>
      </c>
      <c r="D18" s="247"/>
      <c r="E18" s="395">
        <f>SUM(E12:E15)</f>
        <v>0</v>
      </c>
    </row>
    <row r="19" spans="2:5" ht="14.65" customHeight="1" thickBot="1" x14ac:dyDescent="0.3">
      <c r="B19" s="91"/>
      <c r="C19" s="183" t="s">
        <v>369</v>
      </c>
      <c r="D19" s="248"/>
      <c r="E19" s="396">
        <f>SUM(E16:E17)</f>
        <v>0</v>
      </c>
    </row>
    <row r="20" spans="2:5" ht="14.65" customHeight="1" x14ac:dyDescent="0.25">
      <c r="B20" s="208"/>
      <c r="C20" s="220"/>
      <c r="D20" s="246"/>
    </row>
    <row r="21" spans="2:5" ht="14.65" customHeight="1" thickBot="1" x14ac:dyDescent="0.3">
      <c r="B21" s="208"/>
      <c r="C21" s="220"/>
      <c r="D21" s="246"/>
    </row>
    <row r="22" spans="2:5" ht="14.65" customHeight="1" x14ac:dyDescent="0.25">
      <c r="B22" s="603" t="s">
        <v>9</v>
      </c>
      <c r="C22" s="603" t="s">
        <v>10</v>
      </c>
      <c r="D22" s="647" t="s">
        <v>87</v>
      </c>
      <c r="E22" s="623" t="s">
        <v>88</v>
      </c>
    </row>
    <row r="23" spans="2:5" ht="14.65" customHeight="1" thickBot="1" x14ac:dyDescent="0.3">
      <c r="B23" s="605"/>
      <c r="C23" s="605"/>
      <c r="D23" s="648"/>
      <c r="E23" s="649"/>
    </row>
    <row r="24" spans="2:5" ht="14.65" customHeight="1" x14ac:dyDescent="0.25">
      <c r="B24" s="128">
        <f>ÜLDANDMED!D10</f>
        <v>2023</v>
      </c>
      <c r="C24" s="76" t="s">
        <v>367</v>
      </c>
      <c r="D24" s="244"/>
      <c r="E24" s="245"/>
    </row>
    <row r="25" spans="2:5" ht="14.65" customHeight="1" x14ac:dyDescent="0.25">
      <c r="B25" s="77"/>
      <c r="C25" s="71" t="s">
        <v>89</v>
      </c>
      <c r="D25" s="397"/>
      <c r="E25" s="394">
        <f>'KHG_OMA SÕIDUKID M1'!D25*kütus_bensiin_sõiduauto_2023/1000</f>
        <v>0</v>
      </c>
    </row>
    <row r="26" spans="2:5" ht="14.65" customHeight="1" x14ac:dyDescent="0.25">
      <c r="B26" s="77"/>
      <c r="C26" s="71" t="s">
        <v>90</v>
      </c>
      <c r="D26" s="397"/>
      <c r="E26" s="394">
        <f>'KHG_OMA SÕIDUKID M1'!D26*kütus_diisel_sõiduauto_2023/1000</f>
        <v>0</v>
      </c>
    </row>
    <row r="27" spans="2:5" ht="14.65" customHeight="1" x14ac:dyDescent="0.25">
      <c r="B27" s="77"/>
      <c r="C27" s="71" t="s">
        <v>91</v>
      </c>
      <c r="D27" s="397"/>
      <c r="E27" s="394">
        <f>'KHG_OMA SÕIDUKID M1'!D27*kütus_bioCNG_sõiduauto_2023/1000</f>
        <v>0</v>
      </c>
    </row>
    <row r="28" spans="2:5" ht="14.65" customHeight="1" x14ac:dyDescent="0.25">
      <c r="B28" s="77"/>
      <c r="C28" s="71" t="s">
        <v>92</v>
      </c>
      <c r="D28" s="397"/>
      <c r="E28" s="394">
        <f>'KHG_OMA SÕIDUKID M1'!D28*kütus_CNG_sõiduauto_2023/1000</f>
        <v>0</v>
      </c>
    </row>
    <row r="29" spans="2:5" ht="14.65" customHeight="1" x14ac:dyDescent="0.25">
      <c r="B29" s="77"/>
      <c r="C29" s="81" t="s">
        <v>93</v>
      </c>
      <c r="D29" s="397"/>
      <c r="E29" s="394">
        <f>'KHG_OMA SÕIDUKID M1'!D29*kütus_taastuvelekter/1000</f>
        <v>0</v>
      </c>
    </row>
    <row r="30" spans="2:5" ht="14.65" customHeight="1" thickBot="1" x14ac:dyDescent="0.3">
      <c r="B30" s="77"/>
      <c r="C30" s="218" t="s">
        <v>94</v>
      </c>
      <c r="D30" s="397"/>
      <c r="E30" s="394">
        <f>'KHG_OMA SÕIDUKID M1'!D30*segajääk_2023/1000</f>
        <v>0</v>
      </c>
    </row>
    <row r="31" spans="2:5" ht="14.65" customHeight="1" x14ac:dyDescent="0.25">
      <c r="B31" s="77"/>
      <c r="C31" s="76" t="s">
        <v>368</v>
      </c>
      <c r="D31" s="247"/>
      <c r="E31" s="395">
        <f>SUM(E25:E28)</f>
        <v>0</v>
      </c>
    </row>
    <row r="32" spans="2:5" ht="14.65" customHeight="1" thickBot="1" x14ac:dyDescent="0.3">
      <c r="B32" s="91"/>
      <c r="C32" s="183" t="s">
        <v>369</v>
      </c>
      <c r="D32" s="248"/>
      <c r="E32" s="396">
        <f>SUM(E29:E30)</f>
        <v>0</v>
      </c>
    </row>
    <row r="33" spans="2:5" ht="14.65" customHeight="1" x14ac:dyDescent="0.25">
      <c r="B33" s="208"/>
      <c r="C33" s="220"/>
      <c r="D33" s="246"/>
      <c r="E33" s="249"/>
    </row>
    <row r="34" spans="2:5" ht="14.65" customHeight="1" thickBot="1" x14ac:dyDescent="0.3">
      <c r="B34" s="208"/>
      <c r="C34" s="220"/>
      <c r="D34" s="246"/>
    </row>
    <row r="35" spans="2:5" ht="14.65" customHeight="1" x14ac:dyDescent="0.25">
      <c r="B35" s="603" t="s">
        <v>9</v>
      </c>
      <c r="C35" s="603" t="s">
        <v>10</v>
      </c>
      <c r="D35" s="647" t="s">
        <v>87</v>
      </c>
      <c r="E35" s="623" t="s">
        <v>88</v>
      </c>
    </row>
    <row r="36" spans="2:5" ht="14.65" customHeight="1" thickBot="1" x14ac:dyDescent="0.3">
      <c r="B36" s="605"/>
      <c r="C36" s="605"/>
      <c r="D36" s="648"/>
      <c r="E36" s="649"/>
    </row>
    <row r="37" spans="2:5" ht="14.65" customHeight="1" x14ac:dyDescent="0.25">
      <c r="B37" s="128">
        <f>ÜLDANDMED!E10</f>
        <v>2024</v>
      </c>
      <c r="C37" s="76" t="s">
        <v>367</v>
      </c>
      <c r="D37" s="244"/>
      <c r="E37" s="245"/>
    </row>
    <row r="38" spans="2:5" ht="14.65" customHeight="1" x14ac:dyDescent="0.25">
      <c r="B38" s="77"/>
      <c r="C38" s="71" t="s">
        <v>89</v>
      </c>
      <c r="D38" s="397"/>
      <c r="E38" s="394">
        <f>'KHG_OMA SÕIDUKID M1'!D38*kütus_bensiin_sõiduauto_2024/1000</f>
        <v>0</v>
      </c>
    </row>
    <row r="39" spans="2:5" ht="14.65" customHeight="1" x14ac:dyDescent="0.25">
      <c r="B39" s="77"/>
      <c r="C39" s="71" t="s">
        <v>90</v>
      </c>
      <c r="D39" s="397"/>
      <c r="E39" s="394">
        <f>'KHG_OMA SÕIDUKID M1'!D39*kütus_diisel_sõiduauto_2024/1000</f>
        <v>0</v>
      </c>
    </row>
    <row r="40" spans="2:5" ht="14.65" customHeight="1" x14ac:dyDescent="0.25">
      <c r="B40" s="77"/>
      <c r="C40" s="71" t="s">
        <v>91</v>
      </c>
      <c r="D40" s="397"/>
      <c r="E40" s="394">
        <f>'KHG_OMA SÕIDUKID M1'!D40*kütus_bioCNG_sõiduauto_2024/1000</f>
        <v>0</v>
      </c>
    </row>
    <row r="41" spans="2:5" ht="14.65" customHeight="1" x14ac:dyDescent="0.25">
      <c r="B41" s="77"/>
      <c r="C41" s="71" t="s">
        <v>92</v>
      </c>
      <c r="D41" s="397"/>
      <c r="E41" s="394">
        <f>'KHG_OMA SÕIDUKID M1'!D41*kütus_CNG_sõiduauto_2024/1000</f>
        <v>0</v>
      </c>
    </row>
    <row r="42" spans="2:5" ht="14.65" customHeight="1" x14ac:dyDescent="0.25">
      <c r="B42" s="77"/>
      <c r="C42" s="81" t="s">
        <v>93</v>
      </c>
      <c r="D42" s="397"/>
      <c r="E42" s="394">
        <f>'KHG_OMA SÕIDUKID M1'!D42*kütus_taastuvelekter/1000</f>
        <v>0</v>
      </c>
    </row>
    <row r="43" spans="2:5" ht="14.65" customHeight="1" thickBot="1" x14ac:dyDescent="0.3">
      <c r="B43" s="77"/>
      <c r="C43" s="218" t="s">
        <v>94</v>
      </c>
      <c r="D43" s="397"/>
      <c r="E43" s="394">
        <f>'KHG_OMA SÕIDUKID M1'!D43*segajääk_2024/1000</f>
        <v>0</v>
      </c>
    </row>
    <row r="44" spans="2:5" ht="14.65" customHeight="1" x14ac:dyDescent="0.25">
      <c r="B44" s="77"/>
      <c r="C44" s="76" t="s">
        <v>368</v>
      </c>
      <c r="D44" s="247"/>
      <c r="E44" s="395">
        <f>SUM(E38:E41)</f>
        <v>0</v>
      </c>
    </row>
    <row r="45" spans="2:5" ht="14.65" customHeight="1" thickBot="1" x14ac:dyDescent="0.3">
      <c r="B45" s="91"/>
      <c r="C45" s="183" t="s">
        <v>369</v>
      </c>
      <c r="D45" s="248"/>
      <c r="E45" s="396">
        <f>SUM(E42:E43)</f>
        <v>0</v>
      </c>
    </row>
    <row r="46" spans="2:5" ht="14.65" customHeight="1" x14ac:dyDescent="0.25">
      <c r="B46" s="208"/>
      <c r="C46" s="220"/>
      <c r="D46" s="246"/>
      <c r="E46" s="249"/>
    </row>
    <row r="47" spans="2:5" ht="14.65" customHeight="1" thickBot="1" x14ac:dyDescent="0.3">
      <c r="B47" s="208"/>
      <c r="C47" s="220"/>
      <c r="D47" s="246"/>
    </row>
    <row r="48" spans="2:5" ht="14.65" customHeight="1" x14ac:dyDescent="0.25">
      <c r="B48" s="603" t="s">
        <v>9</v>
      </c>
      <c r="C48" s="603" t="s">
        <v>10</v>
      </c>
      <c r="D48" s="647" t="s">
        <v>87</v>
      </c>
      <c r="E48" s="623" t="s">
        <v>88</v>
      </c>
    </row>
    <row r="49" spans="2:5" ht="14.65" customHeight="1" thickBot="1" x14ac:dyDescent="0.3">
      <c r="B49" s="605"/>
      <c r="C49" s="605"/>
      <c r="D49" s="648"/>
      <c r="E49" s="649"/>
    </row>
    <row r="50" spans="2:5" ht="14.65" customHeight="1" x14ac:dyDescent="0.25">
      <c r="B50" s="128">
        <f>ÜLDANDMED!F10</f>
        <v>2025</v>
      </c>
      <c r="C50" s="76" t="s">
        <v>367</v>
      </c>
      <c r="D50" s="244"/>
      <c r="E50" s="245"/>
    </row>
    <row r="51" spans="2:5" ht="14.65" customHeight="1" x14ac:dyDescent="0.25">
      <c r="B51" s="77"/>
      <c r="C51" s="71" t="s">
        <v>89</v>
      </c>
      <c r="D51" s="397"/>
      <c r="E51" s="394">
        <f>'KHG_OMA SÕIDUKID M1'!D51*kütus_bensiin_sõiduauto_2025/1000</f>
        <v>0</v>
      </c>
    </row>
    <row r="52" spans="2:5" ht="14.65" customHeight="1" x14ac:dyDescent="0.25">
      <c r="B52" s="77"/>
      <c r="C52" s="71" t="s">
        <v>90</v>
      </c>
      <c r="D52" s="397"/>
      <c r="E52" s="394">
        <f>'KHG_OMA SÕIDUKID M1'!D52*kütus_diisel_sõiduauto_2025/1000</f>
        <v>0</v>
      </c>
    </row>
    <row r="53" spans="2:5" ht="14.65" customHeight="1" x14ac:dyDescent="0.25">
      <c r="B53" s="77"/>
      <c r="C53" s="71" t="s">
        <v>91</v>
      </c>
      <c r="D53" s="397"/>
      <c r="E53" s="394">
        <f>'KHG_OMA SÕIDUKID M1'!D53*kütus_bioCNG_sõiduauto_2025/1000</f>
        <v>0</v>
      </c>
    </row>
    <row r="54" spans="2:5" ht="14.65" customHeight="1" x14ac:dyDescent="0.25">
      <c r="B54" s="77"/>
      <c r="C54" s="71" t="s">
        <v>92</v>
      </c>
      <c r="D54" s="397"/>
      <c r="E54" s="394">
        <f>'KHG_OMA SÕIDUKID M1'!D54*kütus_CNG_sõiduauto_2025/1000</f>
        <v>0</v>
      </c>
    </row>
    <row r="55" spans="2:5" ht="14.65" customHeight="1" x14ac:dyDescent="0.25">
      <c r="B55" s="77"/>
      <c r="C55" s="81" t="s">
        <v>93</v>
      </c>
      <c r="D55" s="397"/>
      <c r="E55" s="394">
        <f>'KHG_OMA SÕIDUKID M1'!D55*kütus_taastuvelekter/1000</f>
        <v>0</v>
      </c>
    </row>
    <row r="56" spans="2:5" ht="14.65" customHeight="1" thickBot="1" x14ac:dyDescent="0.3">
      <c r="B56" s="77"/>
      <c r="C56" s="218" t="s">
        <v>94</v>
      </c>
      <c r="D56" s="397"/>
      <c r="E56" s="394">
        <f>'KHG_OMA SÕIDUKID M1'!D56*segajääk_2025/1000</f>
        <v>0</v>
      </c>
    </row>
    <row r="57" spans="2:5" ht="14.65" customHeight="1" x14ac:dyDescent="0.25">
      <c r="B57" s="77"/>
      <c r="C57" s="76" t="s">
        <v>368</v>
      </c>
      <c r="D57" s="247"/>
      <c r="E57" s="395">
        <f>SUM(E51:E54)</f>
        <v>0</v>
      </c>
    </row>
    <row r="58" spans="2:5" ht="14.65" customHeight="1" thickBot="1" x14ac:dyDescent="0.3">
      <c r="B58" s="91"/>
      <c r="C58" s="183" t="s">
        <v>369</v>
      </c>
      <c r="D58" s="248"/>
      <c r="E58" s="396">
        <f>SUM(E55:E56)</f>
        <v>0</v>
      </c>
    </row>
    <row r="59" spans="2:5" ht="14.65" customHeight="1" x14ac:dyDescent="0.25">
      <c r="C59"/>
      <c r="D59"/>
    </row>
    <row r="60" spans="2:5" ht="14.65" customHeight="1" thickBot="1" x14ac:dyDescent="0.3">
      <c r="C60"/>
      <c r="D60"/>
    </row>
    <row r="61" spans="2:5" ht="14.65" customHeight="1" x14ac:dyDescent="0.25">
      <c r="B61" s="603" t="s">
        <v>9</v>
      </c>
      <c r="C61" s="603" t="s">
        <v>10</v>
      </c>
      <c r="D61" s="647" t="s">
        <v>87</v>
      </c>
      <c r="E61" s="623" t="s">
        <v>88</v>
      </c>
    </row>
    <row r="62" spans="2:5" ht="14.65" customHeight="1" thickBot="1" x14ac:dyDescent="0.3">
      <c r="B62" s="605"/>
      <c r="C62" s="605"/>
      <c r="D62" s="648"/>
      <c r="E62" s="649"/>
    </row>
    <row r="63" spans="2:5" ht="14.65" customHeight="1" x14ac:dyDescent="0.25">
      <c r="B63" s="128">
        <f>ÜLDANDMED!G10</f>
        <v>2026</v>
      </c>
      <c r="C63" s="76" t="s">
        <v>367</v>
      </c>
      <c r="D63" s="244"/>
      <c r="E63" s="245"/>
    </row>
    <row r="64" spans="2:5" ht="14.65" customHeight="1" x14ac:dyDescent="0.25">
      <c r="B64" s="77"/>
      <c r="C64" s="71" t="s">
        <v>89</v>
      </c>
      <c r="D64" s="397"/>
      <c r="E64" s="394">
        <f>'KHG_OMA SÕIDUKID M1'!D64*kütus_bensiin_sõiduauto_2026/1000</f>
        <v>0</v>
      </c>
    </row>
    <row r="65" spans="2:5" ht="14.65" customHeight="1" x14ac:dyDescent="0.25">
      <c r="B65" s="77"/>
      <c r="C65" s="71" t="s">
        <v>90</v>
      </c>
      <c r="D65" s="397"/>
      <c r="E65" s="394">
        <f>'KHG_OMA SÕIDUKID M1'!D65*kütus_diisel_sõiduauto_2026/1000</f>
        <v>0</v>
      </c>
    </row>
    <row r="66" spans="2:5" ht="14.65" customHeight="1" x14ac:dyDescent="0.25">
      <c r="B66" s="77"/>
      <c r="C66" s="71" t="s">
        <v>91</v>
      </c>
      <c r="D66" s="397"/>
      <c r="E66" s="394">
        <f>'KHG_OMA SÕIDUKID M1'!D66*kütus_bioCNG_sõiduauto_2026/1000</f>
        <v>0</v>
      </c>
    </row>
    <row r="67" spans="2:5" ht="14.65" customHeight="1" x14ac:dyDescent="0.25">
      <c r="B67" s="77"/>
      <c r="C67" s="71" t="s">
        <v>92</v>
      </c>
      <c r="D67" s="397"/>
      <c r="E67" s="394">
        <f>'KHG_OMA SÕIDUKID M1'!D67*kütus_CNG_sõiduauto_2026/1000</f>
        <v>0</v>
      </c>
    </row>
    <row r="68" spans="2:5" ht="14.65" customHeight="1" x14ac:dyDescent="0.25">
      <c r="B68" s="77"/>
      <c r="C68" s="81" t="s">
        <v>93</v>
      </c>
      <c r="D68" s="397"/>
      <c r="E68" s="394">
        <f>'KHG_OMA SÕIDUKID M1'!D68*kütus_taastuvelekter/1000</f>
        <v>0</v>
      </c>
    </row>
    <row r="69" spans="2:5" ht="14.65" customHeight="1" thickBot="1" x14ac:dyDescent="0.3">
      <c r="B69" s="77"/>
      <c r="C69" s="218" t="s">
        <v>94</v>
      </c>
      <c r="D69" s="397"/>
      <c r="E69" s="394">
        <f>'KHG_OMA SÕIDUKID M1'!D69*segajääk_2026/1000</f>
        <v>0</v>
      </c>
    </row>
    <row r="70" spans="2:5" ht="14.65" customHeight="1" x14ac:dyDescent="0.25">
      <c r="B70" s="77"/>
      <c r="C70" s="76" t="s">
        <v>368</v>
      </c>
      <c r="D70" s="247"/>
      <c r="E70" s="395">
        <f>SUM(E64:E67)</f>
        <v>0</v>
      </c>
    </row>
    <row r="71" spans="2:5" ht="14.65" customHeight="1" thickBot="1" x14ac:dyDescent="0.3">
      <c r="B71" s="91"/>
      <c r="C71" s="183" t="s">
        <v>369</v>
      </c>
      <c r="D71" s="248"/>
      <c r="E71" s="396">
        <f>SUM(E68:E69)</f>
        <v>0</v>
      </c>
    </row>
    <row r="72" spans="2:5" ht="14.65" customHeight="1" x14ac:dyDescent="0.25">
      <c r="B72" s="208"/>
      <c r="C72" s="220"/>
      <c r="D72" s="246"/>
    </row>
    <row r="73" spans="2:5" ht="14.65" customHeight="1" thickBot="1" x14ac:dyDescent="0.3">
      <c r="B73" s="208"/>
      <c r="C73" s="220"/>
      <c r="D73" s="246"/>
    </row>
    <row r="74" spans="2:5" ht="14.65" customHeight="1" x14ac:dyDescent="0.25">
      <c r="B74" s="603" t="s">
        <v>9</v>
      </c>
      <c r="C74" s="603" t="s">
        <v>10</v>
      </c>
      <c r="D74" s="647" t="s">
        <v>87</v>
      </c>
      <c r="E74" s="623" t="s">
        <v>88</v>
      </c>
    </row>
    <row r="75" spans="2:5" ht="14.65" customHeight="1" thickBot="1" x14ac:dyDescent="0.3">
      <c r="B75" s="605"/>
      <c r="C75" s="605"/>
      <c r="D75" s="648"/>
      <c r="E75" s="649"/>
    </row>
    <row r="76" spans="2:5" ht="14.65" customHeight="1" x14ac:dyDescent="0.25">
      <c r="B76" s="128">
        <f>ÜLDANDMED!H10</f>
        <v>2027</v>
      </c>
      <c r="C76" s="76" t="s">
        <v>367</v>
      </c>
      <c r="D76" s="244"/>
      <c r="E76" s="245"/>
    </row>
    <row r="77" spans="2:5" ht="14.65" customHeight="1" x14ac:dyDescent="0.25">
      <c r="B77" s="77"/>
      <c r="C77" s="71" t="s">
        <v>89</v>
      </c>
      <c r="D77" s="397"/>
      <c r="E77" s="394">
        <f>'KHG_OMA SÕIDUKID M1'!D77*kütus_bensiin_sõiduauto_2027/1000</f>
        <v>0</v>
      </c>
    </row>
    <row r="78" spans="2:5" ht="14.65" customHeight="1" x14ac:dyDescent="0.25">
      <c r="B78" s="77"/>
      <c r="C78" s="71" t="s">
        <v>90</v>
      </c>
      <c r="D78" s="397"/>
      <c r="E78" s="394">
        <f>'KHG_OMA SÕIDUKID M1'!D78*kütus_diisel_sõiduauto_2027/1000</f>
        <v>0</v>
      </c>
    </row>
    <row r="79" spans="2:5" ht="14.65" customHeight="1" x14ac:dyDescent="0.25">
      <c r="B79" s="77"/>
      <c r="C79" s="71" t="s">
        <v>91</v>
      </c>
      <c r="D79" s="397"/>
      <c r="E79" s="394">
        <f>'KHG_OMA SÕIDUKID M1'!D79*kütus_bioCNG_sõiduauto_2027/1000</f>
        <v>0</v>
      </c>
    </row>
    <row r="80" spans="2:5" ht="14.65" customHeight="1" x14ac:dyDescent="0.25">
      <c r="B80" s="77"/>
      <c r="C80" s="71" t="s">
        <v>92</v>
      </c>
      <c r="D80" s="397"/>
      <c r="E80" s="394">
        <f>'KHG_OMA SÕIDUKID M1'!D80*kütus_CNG_sõiduauto_2027/1000</f>
        <v>0</v>
      </c>
    </row>
    <row r="81" spans="2:5" ht="14.65" customHeight="1" x14ac:dyDescent="0.25">
      <c r="B81" s="77"/>
      <c r="C81" s="81" t="s">
        <v>93</v>
      </c>
      <c r="D81" s="397"/>
      <c r="E81" s="394">
        <f>'KHG_OMA SÕIDUKID M1'!D81*kütus_taastuvelekter/1000</f>
        <v>0</v>
      </c>
    </row>
    <row r="82" spans="2:5" ht="14.65" customHeight="1" thickBot="1" x14ac:dyDescent="0.3">
      <c r="B82" s="77"/>
      <c r="C82" s="218" t="s">
        <v>94</v>
      </c>
      <c r="D82" s="397"/>
      <c r="E82" s="394">
        <f>'KHG_OMA SÕIDUKID M1'!D82*segajääk_2027/1000</f>
        <v>0</v>
      </c>
    </row>
    <row r="83" spans="2:5" ht="14.65" customHeight="1" x14ac:dyDescent="0.25">
      <c r="B83" s="77"/>
      <c r="C83" s="76" t="s">
        <v>368</v>
      </c>
      <c r="D83" s="247"/>
      <c r="E83" s="395">
        <f>SUM(E77:E80)</f>
        <v>0</v>
      </c>
    </row>
    <row r="84" spans="2:5" ht="14.65" customHeight="1" thickBot="1" x14ac:dyDescent="0.3">
      <c r="B84" s="91"/>
      <c r="C84" s="183" t="s">
        <v>369</v>
      </c>
      <c r="D84" s="248"/>
      <c r="E84" s="396">
        <f>SUM(E81:E82)</f>
        <v>0</v>
      </c>
    </row>
    <row r="85" spans="2:5" ht="14.65" customHeight="1" x14ac:dyDescent="0.25">
      <c r="B85" s="208"/>
      <c r="C85" s="220"/>
      <c r="D85" s="246"/>
    </row>
    <row r="86" spans="2:5" ht="14.65" customHeight="1" thickBot="1" x14ac:dyDescent="0.3">
      <c r="B86" s="208"/>
      <c r="C86" s="220"/>
      <c r="D86" s="246"/>
    </row>
    <row r="87" spans="2:5" ht="14.65" customHeight="1" x14ac:dyDescent="0.25">
      <c r="B87" s="603" t="s">
        <v>9</v>
      </c>
      <c r="C87" s="603" t="s">
        <v>10</v>
      </c>
      <c r="D87" s="647" t="s">
        <v>87</v>
      </c>
      <c r="E87" s="623" t="s">
        <v>88</v>
      </c>
    </row>
    <row r="88" spans="2:5" ht="14.65" customHeight="1" thickBot="1" x14ac:dyDescent="0.3">
      <c r="B88" s="605"/>
      <c r="C88" s="605"/>
      <c r="D88" s="648"/>
      <c r="E88" s="649"/>
    </row>
    <row r="89" spans="2:5" ht="14.65" customHeight="1" x14ac:dyDescent="0.25">
      <c r="B89" s="128">
        <f>ÜLDANDMED!I10</f>
        <v>2028</v>
      </c>
      <c r="C89" s="76" t="s">
        <v>367</v>
      </c>
      <c r="D89" s="244"/>
      <c r="E89" s="245"/>
    </row>
    <row r="90" spans="2:5" ht="14.65" customHeight="1" x14ac:dyDescent="0.25">
      <c r="B90" s="77"/>
      <c r="C90" s="71" t="s">
        <v>89</v>
      </c>
      <c r="D90" s="397"/>
      <c r="E90" s="394">
        <f>'KHG_OMA SÕIDUKID M1'!D90*kütus_bensiin_sõiduauto_2028/1000</f>
        <v>0</v>
      </c>
    </row>
    <row r="91" spans="2:5" ht="14.65" customHeight="1" x14ac:dyDescent="0.25">
      <c r="B91" s="77"/>
      <c r="C91" s="71" t="s">
        <v>90</v>
      </c>
      <c r="D91" s="397"/>
      <c r="E91" s="394">
        <f>'KHG_OMA SÕIDUKID M1'!D91*kütus_diisel_sõiduauto_2028/1000</f>
        <v>0</v>
      </c>
    </row>
    <row r="92" spans="2:5" ht="14.65" customHeight="1" x14ac:dyDescent="0.25">
      <c r="B92" s="77"/>
      <c r="C92" s="71" t="s">
        <v>91</v>
      </c>
      <c r="D92" s="397"/>
      <c r="E92" s="394">
        <f>'KHG_OMA SÕIDUKID M1'!D92*kütus_bioCNG_sõiduauto_2028/1000</f>
        <v>0</v>
      </c>
    </row>
    <row r="93" spans="2:5" ht="14.65" customHeight="1" x14ac:dyDescent="0.25">
      <c r="B93" s="77"/>
      <c r="C93" s="71" t="s">
        <v>92</v>
      </c>
      <c r="D93" s="397"/>
      <c r="E93" s="394">
        <f>'KHG_OMA SÕIDUKID M1'!D93*kütus_CNG_sõiduauto_2028/1000</f>
        <v>0</v>
      </c>
    </row>
    <row r="94" spans="2:5" ht="14.65" customHeight="1" x14ac:dyDescent="0.25">
      <c r="B94" s="77"/>
      <c r="C94" s="81" t="s">
        <v>93</v>
      </c>
      <c r="D94" s="397"/>
      <c r="E94" s="394">
        <f>'KHG_OMA SÕIDUKID M1'!D94*kütus_taastuvelekter/1000</f>
        <v>0</v>
      </c>
    </row>
    <row r="95" spans="2:5" ht="14.65" customHeight="1" thickBot="1" x14ac:dyDescent="0.3">
      <c r="B95" s="77"/>
      <c r="C95" s="218" t="s">
        <v>94</v>
      </c>
      <c r="D95" s="397"/>
      <c r="E95" s="394">
        <f>'KHG_OMA SÕIDUKID M1'!D95*segajääk_2028/1000</f>
        <v>0</v>
      </c>
    </row>
    <row r="96" spans="2:5" ht="14.65" customHeight="1" x14ac:dyDescent="0.25">
      <c r="B96" s="77"/>
      <c r="C96" s="76" t="s">
        <v>368</v>
      </c>
      <c r="D96" s="247"/>
      <c r="E96" s="395">
        <f>SUM(E90:E93)</f>
        <v>0</v>
      </c>
    </row>
    <row r="97" spans="2:5" ht="14.65" customHeight="1" thickBot="1" x14ac:dyDescent="0.3">
      <c r="B97" s="91"/>
      <c r="C97" s="183" t="s">
        <v>369</v>
      </c>
      <c r="D97" s="248"/>
      <c r="E97" s="396">
        <f>SUM(E94:E95)</f>
        <v>0</v>
      </c>
    </row>
    <row r="98" spans="2:5" ht="14.65" customHeight="1" x14ac:dyDescent="0.25">
      <c r="B98" s="208"/>
      <c r="C98" s="220"/>
      <c r="D98" s="246"/>
    </row>
    <row r="99" spans="2:5" ht="14.65" customHeight="1" x14ac:dyDescent="0.25">
      <c r="C99"/>
      <c r="D99"/>
    </row>
    <row r="100" spans="2:5" ht="14.65" customHeight="1" x14ac:dyDescent="0.25">
      <c r="C100"/>
      <c r="D100"/>
    </row>
  </sheetData>
  <mergeCells count="29">
    <mergeCell ref="B9:B10"/>
    <mergeCell ref="C9:C10"/>
    <mergeCell ref="D9:D10"/>
    <mergeCell ref="E9:E10"/>
    <mergeCell ref="B3:E3"/>
    <mergeCell ref="B22:B23"/>
    <mergeCell ref="C22:C23"/>
    <mergeCell ref="D22:D23"/>
    <mergeCell ref="E22:E23"/>
    <mergeCell ref="B35:B36"/>
    <mergeCell ref="C35:C36"/>
    <mergeCell ref="D35:D36"/>
    <mergeCell ref="E35:E36"/>
    <mergeCell ref="B48:B49"/>
    <mergeCell ref="C48:C49"/>
    <mergeCell ref="D48:D49"/>
    <mergeCell ref="E48:E49"/>
    <mergeCell ref="B61:B62"/>
    <mergeCell ref="C61:C62"/>
    <mergeCell ref="D61:D62"/>
    <mergeCell ref="E61:E62"/>
    <mergeCell ref="B74:B75"/>
    <mergeCell ref="C74:C75"/>
    <mergeCell ref="D74:D75"/>
    <mergeCell ref="E74:E75"/>
    <mergeCell ref="B87:B88"/>
    <mergeCell ref="C87:C88"/>
    <mergeCell ref="D87:D88"/>
    <mergeCell ref="E87:E88"/>
  </mergeCells>
  <phoneticPr fontId="43" type="noConversion"/>
  <pageMargins left="0.70866141732283472" right="0.70866141732283472" top="0.74803149606299213" bottom="0.74803149606299213" header="0.31496062992125984" footer="0.31496062992125984"/>
  <pageSetup scale="94" fitToHeight="2"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bd50d0-d8f0-4351-bcc9-bc0089db6ffe">
      <Terms xmlns="http://schemas.microsoft.com/office/infopath/2007/PartnerControls"/>
    </lcf76f155ced4ddcb4097134ff3c332f>
    <TaxCatchAll xmlns="0e000f76-03c3-4a6d-ba20-82435f178b6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FB5836B143DC4489B22C23BC79EF2DD" ma:contentTypeVersion="19" ma:contentTypeDescription="Loo uus dokument" ma:contentTypeScope="" ma:versionID="6387b10d9eeb20ab81378d55a012b588">
  <xsd:schema xmlns:xsd="http://www.w3.org/2001/XMLSchema" xmlns:xs="http://www.w3.org/2001/XMLSchema" xmlns:p="http://schemas.microsoft.com/office/2006/metadata/properties" xmlns:ns2="51bd50d0-d8f0-4351-bcc9-bc0089db6ffe" xmlns:ns3="0e000f76-03c3-4a6d-ba20-82435f178b63" targetNamespace="http://schemas.microsoft.com/office/2006/metadata/properties" ma:root="true" ma:fieldsID="c43c81ea314a832016fcc13423c1c284" ns2:_="" ns3:_="">
    <xsd:import namespace="51bd50d0-d8f0-4351-bcc9-bc0089db6ffe"/>
    <xsd:import namespace="0e000f76-03c3-4a6d-ba20-82435f178b6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bd50d0-d8f0-4351-bcc9-bc0089db6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Pildisildid" ma:readOnly="false" ma:fieldId="{5cf76f15-5ced-4ddc-b409-7134ff3c332f}" ma:taxonomyMulti="true" ma:sspId="ec5b9f97-a3a9-4673-b973-1f963bf50aa6"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000f76-03c3-4a6d-ba20-82435f178b63" elementFormDefault="qualified">
    <xsd:import namespace="http://schemas.microsoft.com/office/2006/documentManagement/types"/>
    <xsd:import namespace="http://schemas.microsoft.com/office/infopath/2007/PartnerControls"/>
    <xsd:element name="SharedWithUsers" ma:index="18"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Ühiskasutusse andmise üksikasjad" ma:internalName="SharedWithDetails" ma:readOnly="true">
      <xsd:simpleType>
        <xsd:restriction base="dms:Note">
          <xsd:maxLength value="255"/>
        </xsd:restriction>
      </xsd:simpleType>
    </xsd:element>
    <xsd:element name="TaxCatchAll" ma:index="23" nillable="true" ma:displayName="Taxonomy Catch All Column" ma:hidden="true" ma:list="{eb8b964a-4c45-40bb-880e-562ce8cd8a41}" ma:internalName="TaxCatchAll" ma:showField="CatchAllData" ma:web="0e000f76-03c3-4a6d-ba20-82435f178b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A126EC-8F81-4A49-9FA9-8A4A71257C61}">
  <ds:schemaRefs>
    <ds:schemaRef ds:uri="51bd50d0-d8f0-4351-bcc9-bc0089db6ffe"/>
    <ds:schemaRef ds:uri="http://purl.org/dc/elements/1.1/"/>
    <ds:schemaRef ds:uri="http://www.w3.org/XML/1998/namespace"/>
    <ds:schemaRef ds:uri="http://schemas.openxmlformats.org/package/2006/metadata/core-properties"/>
    <ds:schemaRef ds:uri="http://purl.org/dc/dcmitype/"/>
    <ds:schemaRef ds:uri="http://schemas.microsoft.com/office/2006/documentManagement/types"/>
    <ds:schemaRef ds:uri="0e000f76-03c3-4a6d-ba20-82435f178b63"/>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390A508-B0D8-45EB-91E5-C26373E979A3}">
  <ds:schemaRefs>
    <ds:schemaRef ds:uri="http://schemas.microsoft.com/sharepoint/v3/contenttype/forms"/>
  </ds:schemaRefs>
</ds:datastoreItem>
</file>

<file path=customXml/itemProps3.xml><?xml version="1.0" encoding="utf-8"?>
<ds:datastoreItem xmlns:ds="http://schemas.openxmlformats.org/officeDocument/2006/customXml" ds:itemID="{E73A7309-2501-44CB-BDE5-782506B13A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bd50d0-d8f0-4351-bcc9-bc0089db6ffe"/>
    <ds:schemaRef ds:uri="0e000f76-03c3-4a6d-ba20-82435f178b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15</vt:i4>
      </vt:variant>
      <vt:variant>
        <vt:lpstr>Nimega vahemikud</vt:lpstr>
      </vt:variant>
      <vt:variant>
        <vt:i4>306</vt:i4>
      </vt:variant>
    </vt:vector>
  </HeadingPairs>
  <TitlesOfParts>
    <vt:vector size="321" baseType="lpstr">
      <vt:lpstr>SISSEJUHATUS</vt:lpstr>
      <vt:lpstr>ÜLDANDMED</vt:lpstr>
      <vt:lpstr>ELEKTER</vt:lpstr>
      <vt:lpstr>SOOJUS</vt:lpstr>
      <vt:lpstr>VESI</vt:lpstr>
      <vt:lpstr>PABER</vt:lpstr>
      <vt:lpstr>JÄÄTMED</vt:lpstr>
      <vt:lpstr>KOOND</vt:lpstr>
      <vt:lpstr>KHG_OMA SÕIDUKID M1</vt:lpstr>
      <vt:lpstr>KHG_HAJUSHEITMED M1</vt:lpstr>
      <vt:lpstr>KHG_TÖÖREISID M3</vt:lpstr>
      <vt:lpstr>KHG_TÖÖLE-KOJU M3</vt:lpstr>
      <vt:lpstr>KHG_TRANSPORDITEENUS M3</vt:lpstr>
      <vt:lpstr>KHG JALAJÄLG KOOND</vt:lpstr>
      <vt:lpstr>KHG eriheitetegurid</vt:lpstr>
      <vt:lpstr>a_2022</vt:lpstr>
      <vt:lpstr>a_2023</vt:lpstr>
      <vt:lpstr>a_2024</vt:lpstr>
      <vt:lpstr>a_2025</vt:lpstr>
      <vt:lpstr>a_2026</vt:lpstr>
      <vt:lpstr>a_2027</vt:lpstr>
      <vt:lpstr>a_2028</vt:lpstr>
      <vt:lpstr>b_2022</vt:lpstr>
      <vt:lpstr>b_2023</vt:lpstr>
      <vt:lpstr>b_2024</vt:lpstr>
      <vt:lpstr>b_2025</vt:lpstr>
      <vt:lpstr>b_2026</vt:lpstr>
      <vt:lpstr>b_2027</vt:lpstr>
      <vt:lpstr>b_2028</vt:lpstr>
      <vt:lpstr>c_2022</vt:lpstr>
      <vt:lpstr>c_2023</vt:lpstr>
      <vt:lpstr>c_2024</vt:lpstr>
      <vt:lpstr>c_2025</vt:lpstr>
      <vt:lpstr>c_2026</vt:lpstr>
      <vt:lpstr>c_2027</vt:lpstr>
      <vt:lpstr>c_2028</vt:lpstr>
      <vt:lpstr>jäätmed_biojäätmed</vt:lpstr>
      <vt:lpstr>jäätmed_klaas</vt:lpstr>
      <vt:lpstr>jäätmed_paber</vt:lpstr>
      <vt:lpstr>jäätmed_segaolme_prügila</vt:lpstr>
      <vt:lpstr>jäätmed_segaolme_põletus</vt:lpstr>
      <vt:lpstr>jäätmed_segapakend</vt:lpstr>
      <vt:lpstr>kodukontor_elekter</vt:lpstr>
      <vt:lpstr>kodukontor_valgustus</vt:lpstr>
      <vt:lpstr>kütus_bensiin_kaubik_2022</vt:lpstr>
      <vt:lpstr>kütus_bensiin_kaubik_2023</vt:lpstr>
      <vt:lpstr>kütus_bensiin_kaubik_2024</vt:lpstr>
      <vt:lpstr>kütus_bensiin_kaubik_2025</vt:lpstr>
      <vt:lpstr>kütus_bensiin_kaubik_2026</vt:lpstr>
      <vt:lpstr>kütus_bensiin_kaubik_2027</vt:lpstr>
      <vt:lpstr>kütus_bensiin_kaubik_2028</vt:lpstr>
      <vt:lpstr>kütus_bensiin_sõiduauto_2022</vt:lpstr>
      <vt:lpstr>kütus_bensiin_sõiduauto_2023</vt:lpstr>
      <vt:lpstr>kütus_bensiin_sõiduauto_2024</vt:lpstr>
      <vt:lpstr>kütus_bensiin_sõiduauto_2025</vt:lpstr>
      <vt:lpstr>kütus_bensiin_sõiduauto_2026</vt:lpstr>
      <vt:lpstr>kütus_bensiin_sõiduauto_2027</vt:lpstr>
      <vt:lpstr>kütus_bensiin_sõiduauto_2028</vt:lpstr>
      <vt:lpstr>kütus_bioCNG_sõiduauto_2022</vt:lpstr>
      <vt:lpstr>kütus_bioCNG_sõiduauto_2023</vt:lpstr>
      <vt:lpstr>kütus_bioCNG_sõiduauto_2024</vt:lpstr>
      <vt:lpstr>kütus_bioCNG_sõiduauto_2025</vt:lpstr>
      <vt:lpstr>kütus_bioCNG_sõiduauto_2026</vt:lpstr>
      <vt:lpstr>kütus_bioCNG_sõiduauto_2027</vt:lpstr>
      <vt:lpstr>kütus_bioCNG_sõiduauto_2028</vt:lpstr>
      <vt:lpstr>kütus_CNG_sõiduauto_2022</vt:lpstr>
      <vt:lpstr>kütus_CNG_sõiduauto_2023</vt:lpstr>
      <vt:lpstr>kütus_CNG_sõiduauto_2024</vt:lpstr>
      <vt:lpstr>kütus_CNG_sõiduauto_2025</vt:lpstr>
      <vt:lpstr>kütus_CNG_sõiduauto_2026</vt:lpstr>
      <vt:lpstr>kütus_CNG_sõiduauto_2027</vt:lpstr>
      <vt:lpstr>kütus_CNG_sõiduauto_2028</vt:lpstr>
      <vt:lpstr>kütus_diisel_buss_2022</vt:lpstr>
      <vt:lpstr>kütus_diisel_buss_2023</vt:lpstr>
      <vt:lpstr>kütus_diisel_buss_2024</vt:lpstr>
      <vt:lpstr>kütus_diisel_buss_2025</vt:lpstr>
      <vt:lpstr>kütus_diisel_buss_2026</vt:lpstr>
      <vt:lpstr>kütus_diisel_buss_2027</vt:lpstr>
      <vt:lpstr>kütus_diisel_buss_2028</vt:lpstr>
      <vt:lpstr>kütus_diisel_kaubik_2022</vt:lpstr>
      <vt:lpstr>kütus_diisel_kaubik_2023</vt:lpstr>
      <vt:lpstr>kütus_diisel_kaubik_2024</vt:lpstr>
      <vt:lpstr>kütus_diisel_kaubik_2025</vt:lpstr>
      <vt:lpstr>kütus_diisel_kaubik_2026</vt:lpstr>
      <vt:lpstr>kütus_diisel_kaubik_2027</vt:lpstr>
      <vt:lpstr>kütus_diisel_kaubik_2028</vt:lpstr>
      <vt:lpstr>kütus_diisel_sõiduauto_2022</vt:lpstr>
      <vt:lpstr>kütus_diisel_sõiduauto_2023</vt:lpstr>
      <vt:lpstr>kütus_diisel_sõiduauto_2024</vt:lpstr>
      <vt:lpstr>kütus_diisel_sõiduauto_2025</vt:lpstr>
      <vt:lpstr>kütus_diisel_sõiduauto_2026</vt:lpstr>
      <vt:lpstr>kütus_diisel_sõiduauto_2027</vt:lpstr>
      <vt:lpstr>kütus_diisel_sõiduauto_2028</vt:lpstr>
      <vt:lpstr>kütus_taastuvelekter</vt:lpstr>
      <vt:lpstr>lehträtik</vt:lpstr>
      <vt:lpstr>lokaalküte_biomass_2022</vt:lpstr>
      <vt:lpstr>lokaalküte_biomass_2023</vt:lpstr>
      <vt:lpstr>lokaalküte_biomass_2024</vt:lpstr>
      <vt:lpstr>lokaalküte_biomass_2025</vt:lpstr>
      <vt:lpstr>lokaalküte_biomass_2026</vt:lpstr>
      <vt:lpstr>lokaalküte_biomass_2027</vt:lpstr>
      <vt:lpstr>lokaalküte_biomass_2028</vt:lpstr>
      <vt:lpstr>lokaalküte_freesturvas_2022</vt:lpstr>
      <vt:lpstr>lokaalküte_freesturvas_2023</vt:lpstr>
      <vt:lpstr>lokaalküte_freesturvas_2024</vt:lpstr>
      <vt:lpstr>lokaalküte_freesturvas_2025</vt:lpstr>
      <vt:lpstr>lokaalküte_freesturvas_2026</vt:lpstr>
      <vt:lpstr>lokaalküte_freesturvas_2027</vt:lpstr>
      <vt:lpstr>lokaalküte_freesturvas_2028</vt:lpstr>
      <vt:lpstr>lokaalküte_kütteõli_2022</vt:lpstr>
      <vt:lpstr>lokaalküte_kütteõli_2023</vt:lpstr>
      <vt:lpstr>lokaalküte_kütteõli_2024</vt:lpstr>
      <vt:lpstr>lokaalküte_kütteõli_2025</vt:lpstr>
      <vt:lpstr>lokaalküte_kütteõli_2026</vt:lpstr>
      <vt:lpstr>lokaalküte_kütteõli_2027</vt:lpstr>
      <vt:lpstr>lokaalküte_kütteõli_2028</vt:lpstr>
      <vt:lpstr>lokaalküte_maagaas_2022</vt:lpstr>
      <vt:lpstr>lokaalküte_maagaas_2023</vt:lpstr>
      <vt:lpstr>lokaalküte_maagaas_2024</vt:lpstr>
      <vt:lpstr>lokaalküte_maagaas_2025</vt:lpstr>
      <vt:lpstr>lokaalküte_maagaas_2026</vt:lpstr>
      <vt:lpstr>lokaalküte_maagaas_2027</vt:lpstr>
      <vt:lpstr>lokaalküte_maagaas_2028</vt:lpstr>
      <vt:lpstr>lokaalküte_põlevkiviõli_2022</vt:lpstr>
      <vt:lpstr>lokaalküte_põlevkiviõli_2023</vt:lpstr>
      <vt:lpstr>lokaalküte_põlevkiviõli_2024</vt:lpstr>
      <vt:lpstr>lokaalküte_põlevkiviõli_2025</vt:lpstr>
      <vt:lpstr>lokaalküte_põlevkiviõli_2026</vt:lpstr>
      <vt:lpstr>lokaalküte_põlevkiviõli_2027</vt:lpstr>
      <vt:lpstr>lokaalküte_põlevkiviõli_2028</vt:lpstr>
      <vt:lpstr>paber_2022</vt:lpstr>
      <vt:lpstr>paber_2023</vt:lpstr>
      <vt:lpstr>paber_2024</vt:lpstr>
      <vt:lpstr>paber_2025</vt:lpstr>
      <vt:lpstr>paber_2026</vt:lpstr>
      <vt:lpstr>paber_2027</vt:lpstr>
      <vt:lpstr>paber_2028</vt:lpstr>
      <vt:lpstr>segajääk_2022</vt:lpstr>
      <vt:lpstr>segajääk_2023</vt:lpstr>
      <vt:lpstr>segajääk_2024</vt:lpstr>
      <vt:lpstr>segajääk_2025</vt:lpstr>
      <vt:lpstr>segajääk_2026</vt:lpstr>
      <vt:lpstr>segajääk_2027</vt:lpstr>
      <vt:lpstr>segajääk_2028</vt:lpstr>
      <vt:lpstr>sõiduauto_bensiin_2022</vt:lpstr>
      <vt:lpstr>sõiduauto_bensiin_2023</vt:lpstr>
      <vt:lpstr>sõiduauto_bensiin_2024</vt:lpstr>
      <vt:lpstr>sõiduauto_bensiin_2025</vt:lpstr>
      <vt:lpstr>sõiduauto_bensiin_2026</vt:lpstr>
      <vt:lpstr>sõiduauto_bensiin_2027</vt:lpstr>
      <vt:lpstr>sõiduauto_bensiin_2028</vt:lpstr>
      <vt:lpstr>sõiduauto_bioCNG_2022</vt:lpstr>
      <vt:lpstr>sõiduauto_bioCNG_2023</vt:lpstr>
      <vt:lpstr>sõiduauto_bioCNG_2024</vt:lpstr>
      <vt:lpstr>sõiduauto_bioCNG_2025</vt:lpstr>
      <vt:lpstr>sõiduauto_bioCNG_2026</vt:lpstr>
      <vt:lpstr>sõiduauto_bioCNG_2027</vt:lpstr>
      <vt:lpstr>sõiduauto_bioCNG_2028</vt:lpstr>
      <vt:lpstr>sõiduauto_CNG_2022</vt:lpstr>
      <vt:lpstr>sõiduauto_CNG_2023</vt:lpstr>
      <vt:lpstr>sõiduauto_CNG_2024</vt:lpstr>
      <vt:lpstr>sõiduauto_CNG_2025</vt:lpstr>
      <vt:lpstr>sõiduauto_CNG_2026</vt:lpstr>
      <vt:lpstr>sõiduauto_CNG_2027</vt:lpstr>
      <vt:lpstr>sõiduauto_CNG_2028</vt:lpstr>
      <vt:lpstr>sõiduauto_diisel_2022</vt:lpstr>
      <vt:lpstr>sõiduauto_diisel_2023</vt:lpstr>
      <vt:lpstr>sõiduauto_diisel_2024</vt:lpstr>
      <vt:lpstr>sõiduauto_diisel_2025</vt:lpstr>
      <vt:lpstr>sõiduauto_diisel_2026</vt:lpstr>
      <vt:lpstr>sõiduauto_diisel_2027</vt:lpstr>
      <vt:lpstr>sõiduauto_diisel_2028</vt:lpstr>
      <vt:lpstr>sõiduauto_hübriid_2022</vt:lpstr>
      <vt:lpstr>sõiduauto_hübriid_2023</vt:lpstr>
      <vt:lpstr>sõiduauto_hübriid_2024</vt:lpstr>
      <vt:lpstr>sõiduauto_hübriid_2025</vt:lpstr>
      <vt:lpstr>sõiduauto_hübriid_2026</vt:lpstr>
      <vt:lpstr>sõiduauto_hübriid_2027</vt:lpstr>
      <vt:lpstr>sõiduauto_hübriid_2028</vt:lpstr>
      <vt:lpstr>sõiduauto_taastuvelekter</vt:lpstr>
      <vt:lpstr>sõiduauto_tavaelekter_2022</vt:lpstr>
      <vt:lpstr>sõiduauto_tavaelekter_2023</vt:lpstr>
      <vt:lpstr>sõiduauto_tavaelekter_2024</vt:lpstr>
      <vt:lpstr>sõiduauto_tavaelekter_2025</vt:lpstr>
      <vt:lpstr>sõiduauto_tavaelekter_2026</vt:lpstr>
      <vt:lpstr>sõiduauto_tavaelekter_2027</vt:lpstr>
      <vt:lpstr>sõiduauto_tavaelekter_2028</vt:lpstr>
      <vt:lpstr>sõiduk_buss_kaugliin_2022</vt:lpstr>
      <vt:lpstr>sõiduk_buss_kaugliin_2023</vt:lpstr>
      <vt:lpstr>sõiduk_buss_kaugliin_2024</vt:lpstr>
      <vt:lpstr>sõiduk_buss_kaugliin_2025</vt:lpstr>
      <vt:lpstr>sõiduk_buss_kaugliin_2026</vt:lpstr>
      <vt:lpstr>sõiduk_buss_kaugliin_2027</vt:lpstr>
      <vt:lpstr>sõiduk_buss_kaugliin_2028</vt:lpstr>
      <vt:lpstr>sõiduk_buss_linnaliin_Eesti_2022</vt:lpstr>
      <vt:lpstr>sõiduk_buss_linnaliin_Eesti_2023</vt:lpstr>
      <vt:lpstr>sõiduk_buss_linnaliin_Eesti_2024</vt:lpstr>
      <vt:lpstr>sõiduk_buss_linnaliin_Eesti_2025</vt:lpstr>
      <vt:lpstr>sõiduk_buss_linnaliin_Eesti_2026</vt:lpstr>
      <vt:lpstr>sõiduk_buss_linnaliin_Eesti_2027</vt:lpstr>
      <vt:lpstr>sõiduk_buss_linnaliin_Eesti_2028</vt:lpstr>
      <vt:lpstr>sõiduk_buss_linnaliin_Tallinn_2022</vt:lpstr>
      <vt:lpstr>sõiduk_buss_linnaliin_Tallinn_2023</vt:lpstr>
      <vt:lpstr>sõiduk_buss_linnaliin_Tallinn_2024</vt:lpstr>
      <vt:lpstr>sõiduk_buss_linnaliin_Tallinn_2025</vt:lpstr>
      <vt:lpstr>sõiduk_buss_linnaliin_Tallinn_2026</vt:lpstr>
      <vt:lpstr>sõiduk_buss_linnaliin_Tallinn_2027</vt:lpstr>
      <vt:lpstr>sõiduk_buss_linnaliin_Tallinn_2028</vt:lpstr>
      <vt:lpstr>sõiduk_buss_maakondlik_2022</vt:lpstr>
      <vt:lpstr>sõiduk_buss_maakondlik_2023</vt:lpstr>
      <vt:lpstr>sõiduk_buss_maakondlik_2024</vt:lpstr>
      <vt:lpstr>sõiduk_buss_maakondlik_2025</vt:lpstr>
      <vt:lpstr>sõiduk_buss_maakondlik_2026</vt:lpstr>
      <vt:lpstr>sõiduk_buss_maakondlik_2027</vt:lpstr>
      <vt:lpstr>sõiduk_buss_maakondlik_2028</vt:lpstr>
      <vt:lpstr>sõiduk_diiselrong_2022</vt:lpstr>
      <vt:lpstr>sõiduk_diiselrong_2023</vt:lpstr>
      <vt:lpstr>sõiduk_diiselrong_2024</vt:lpstr>
      <vt:lpstr>sõiduk_diiselrong_2025</vt:lpstr>
      <vt:lpstr>sõiduk_diiselrong_2026</vt:lpstr>
      <vt:lpstr>sõiduk_diiselrong_2027</vt:lpstr>
      <vt:lpstr>sõiduk_diiselrong_2028</vt:lpstr>
      <vt:lpstr>sõiduk_elektrirong</vt:lpstr>
      <vt:lpstr>sõiduk_laev_2022</vt:lpstr>
      <vt:lpstr>sõiduk_laev_2023</vt:lpstr>
      <vt:lpstr>sõiduk_laev_2024</vt:lpstr>
      <vt:lpstr>sõiduk_laev_2025</vt:lpstr>
      <vt:lpstr>sõiduk_laev_2026</vt:lpstr>
      <vt:lpstr>sõiduk_laev_2027</vt:lpstr>
      <vt:lpstr>sõiduk_laev_2028</vt:lpstr>
      <vt:lpstr>sõiduk_lennuk_2022</vt:lpstr>
      <vt:lpstr>sõiduk_lennuk_2023</vt:lpstr>
      <vt:lpstr>sõiduk_lennuk_2024</vt:lpstr>
      <vt:lpstr>sõiduk_lennuk_2025</vt:lpstr>
      <vt:lpstr>sõiduk_lennuk_2026</vt:lpstr>
      <vt:lpstr>sõiduk_lennuk_2027</vt:lpstr>
      <vt:lpstr>sõiduk_lennuk_2028</vt:lpstr>
      <vt:lpstr>sõiduk_taastuvelektriratas</vt:lpstr>
      <vt:lpstr>sõiduk_takso_2022</vt:lpstr>
      <vt:lpstr>sõiduk_takso_2023</vt:lpstr>
      <vt:lpstr>sõiduk_takso_2024</vt:lpstr>
      <vt:lpstr>sõiduk_takso_2025</vt:lpstr>
      <vt:lpstr>sõiduk_takso_2026</vt:lpstr>
      <vt:lpstr>sõiduk_takso_2027</vt:lpstr>
      <vt:lpstr>sõiduk_takso_2028</vt:lpstr>
      <vt:lpstr>sõiduk_tavaelektriratas_2022</vt:lpstr>
      <vt:lpstr>sõiduk_tavaelektriratas_2023</vt:lpstr>
      <vt:lpstr>sõiduk_tavaelektriratas_2024</vt:lpstr>
      <vt:lpstr>sõiduk_tavaelektriratas_2025</vt:lpstr>
      <vt:lpstr>sõiduk_tavaelektriratas_2026</vt:lpstr>
      <vt:lpstr>sõiduk_tavaelektriratas_2027</vt:lpstr>
      <vt:lpstr>sõiduk_tavaelektriratas_2028</vt:lpstr>
      <vt:lpstr>sõiduk_tavajalgratas</vt:lpstr>
      <vt:lpstr>sõiduk_tramm</vt:lpstr>
      <vt:lpstr>transport_buss_2022</vt:lpstr>
      <vt:lpstr>transport_buss_2023</vt:lpstr>
      <vt:lpstr>transport_buss_2024</vt:lpstr>
      <vt:lpstr>transport_buss_2025</vt:lpstr>
      <vt:lpstr>transport_buss_2026</vt:lpstr>
      <vt:lpstr>transport_buss_2027</vt:lpstr>
      <vt:lpstr>transport_buss_2028</vt:lpstr>
      <vt:lpstr>transport_kaubik_bensiin_km_2022</vt:lpstr>
      <vt:lpstr>transport_kaubik_bensiin_km_2023</vt:lpstr>
      <vt:lpstr>transport_kaubik_bensiin_km_2024</vt:lpstr>
      <vt:lpstr>transport_kaubik_bensiin_km_2025</vt:lpstr>
      <vt:lpstr>transport_kaubik_bensiin_km_2026</vt:lpstr>
      <vt:lpstr>transport_kaubik_bensiin_km_2027</vt:lpstr>
      <vt:lpstr>transport_kaubik_bensiin_km_2028</vt:lpstr>
      <vt:lpstr>transport_kaubik_bensiin_tonnkm_2022</vt:lpstr>
      <vt:lpstr>transport_kaubik_bensiin_tonnkm_2023</vt:lpstr>
      <vt:lpstr>transport_kaubik_bensiin_tonnkm_2024</vt:lpstr>
      <vt:lpstr>transport_kaubik_bensiin_tonnkm_2025</vt:lpstr>
      <vt:lpstr>transport_kaubik_bensiin_tonnkm_2026</vt:lpstr>
      <vt:lpstr>transport_kaubik_bensiin_tonnkm_2027</vt:lpstr>
      <vt:lpstr>transport_kaubik_bensiin_tonnkm_2028</vt:lpstr>
      <vt:lpstr>transport_kaubik_diisel_km_2022</vt:lpstr>
      <vt:lpstr>transport_kaubik_diisel_km_2023</vt:lpstr>
      <vt:lpstr>transport_kaubik_diisel_km_2024</vt:lpstr>
      <vt:lpstr>transport_kaubik_diisel_km_2025</vt:lpstr>
      <vt:lpstr>transport_kaubik_diisel_km_2026</vt:lpstr>
      <vt:lpstr>transport_kaubik_diisel_km_2027</vt:lpstr>
      <vt:lpstr>transport_kaubik_diisel_km_2028</vt:lpstr>
      <vt:lpstr>transport_kaubik_diisel_tonnkm_2022</vt:lpstr>
      <vt:lpstr>transport_kaubik_diisel_tonnkm_2023</vt:lpstr>
      <vt:lpstr>transport_kaubik_diisel_tonnkm_2024</vt:lpstr>
      <vt:lpstr>transport_kaubik_diisel_tonnkm_2025</vt:lpstr>
      <vt:lpstr>transport_kaubik_diisel_tonnkm_2026</vt:lpstr>
      <vt:lpstr>transport_kaubik_diisel_tonnkm_2027</vt:lpstr>
      <vt:lpstr>transport_kaubik_diisel_tonnkm_2028</vt:lpstr>
      <vt:lpstr>transport_kaubik_taastuvelekter_km</vt:lpstr>
      <vt:lpstr>transport_kaubik_taastuvelekter_tonnkm</vt:lpstr>
      <vt:lpstr>transport_kaubik_tavaelekter_km_2022</vt:lpstr>
      <vt:lpstr>transport_kaubik_tavaelekter_km_2023</vt:lpstr>
      <vt:lpstr>transport_kaubik_tavaelekter_km_2024</vt:lpstr>
      <vt:lpstr>transport_kaubik_tavaelekter_km_2025</vt:lpstr>
      <vt:lpstr>transport_kaubik_tavaelekter_km_2026</vt:lpstr>
      <vt:lpstr>transport_kaubik_tavaelekter_km_2027</vt:lpstr>
      <vt:lpstr>transport_kaubik_tavaelekter_km_2028</vt:lpstr>
      <vt:lpstr>transport_kaubik_tavaelekter_tonnkm_2022</vt:lpstr>
      <vt:lpstr>transport_kaubik_tavaelekter_tonnkm_2023</vt:lpstr>
      <vt:lpstr>transport_kaubik_tavaelekter_tonnkm_2024</vt:lpstr>
      <vt:lpstr>transport_kaubik_tavaelekter_tonnkm_2025</vt:lpstr>
      <vt:lpstr>transport_kaubik_tavaelekter_tonnkm_2026</vt:lpstr>
      <vt:lpstr>transport_kaubik_tavaelekter_tonnkm_2027</vt:lpstr>
      <vt:lpstr>transport_kaubik_tavaelekter_tonnkm_2028</vt:lpstr>
      <vt:lpstr>transport_väikebuss_2022</vt:lpstr>
      <vt:lpstr>transport_väikebuss_2023</vt:lpstr>
      <vt:lpstr>transport_väikebuss_2024</vt:lpstr>
      <vt:lpstr>transport_väikebuss_2025</vt:lpstr>
      <vt:lpstr>transport_väikebuss_2026</vt:lpstr>
      <vt:lpstr>transport_väikebuss_2027</vt:lpstr>
      <vt:lpstr>transport_väikebuss_2028</vt:lpstr>
      <vt:lpstr>tualettpaber</vt:lpstr>
      <vt:lpstr>tööle_koju_jalgsi</vt:lpstr>
      <vt:lpstr>vesi_2022</vt:lpstr>
      <vt:lpstr>vesi_2023</vt:lpstr>
      <vt:lpstr>vesi_2024</vt:lpstr>
      <vt:lpstr>vesi_2025</vt:lpstr>
      <vt:lpstr>vesi_2026</vt:lpstr>
      <vt:lpstr>vesi_2027</vt:lpstr>
      <vt:lpstr>vesi_2028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2026-01-05T13:36:44Z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0x0101009FB5836B143DC4489B22C23BC79EF2DD</vt:lpwstr>
  </property>
  <property fmtid="{D5CDD505-2E9C-101B-9397-08002B2CF9AE}" pid="3" name="MediaServiceImageTags">
    <vt:lpwstr/>
  </property>
</Properties>
</file>