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4.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charts/chartEx1.xml" ContentType="application/vnd.ms-office.chartex+xml"/>
  <Override PartName="/xl/charts/style23.xml" ContentType="application/vnd.ms-office.chartstyle+xml"/>
  <Override PartName="/xl/charts/colors2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3760" documentId="8_{BF1D83FD-EB09-456D-BECC-03F04ADE9534}" xr6:coauthVersionLast="47" xr6:coauthVersionMax="47" xr10:uidLastSave="{56F9B8EB-9DF0-473A-9114-BE3440AA7312}"/>
  <bookViews>
    <workbookView xWindow="-120" yWindow="-120" windowWidth="29040" windowHeight="15720" tabRatio="852" xr2:uid="{00000000-000D-0000-FFFF-FFFF00000000}"/>
  </bookViews>
  <sheets>
    <sheet name="SISSEJUHATUS" sheetId="21" r:id="rId1"/>
    <sheet name="ÜLDANDMED" sheetId="11" r:id="rId2"/>
    <sheet name="ELEKTER" sheetId="2" r:id="rId3"/>
    <sheet name="SOOJUS" sheetId="14" r:id="rId4"/>
    <sheet name="VESI" sheetId="3" r:id="rId5"/>
    <sheet name="PABER" sheetId="5" r:id="rId6"/>
    <sheet name="JÄÄTMED" sheetId="15" r:id="rId7"/>
    <sheet name="KOOND" sheetId="19" r:id="rId8"/>
    <sheet name="KHG_OMA SÕIDUKID M1" sheetId="16" r:id="rId9"/>
    <sheet name="KHG_HAJUSHEITMED M1" sheetId="30" r:id="rId10"/>
    <sheet name="KHG_TÖÖREISID M3" sheetId="25" r:id="rId11"/>
    <sheet name="KHG_TÖÖLE-KOJU M3" sheetId="28" r:id="rId12"/>
    <sheet name="KHG_TRANSPORDITEENUS M3" sheetId="27" r:id="rId13"/>
    <sheet name="KHG JALAJÄLG KOOND" sheetId="8" r:id="rId14"/>
    <sheet name="KHG eriheitetegurid" sheetId="17" r:id="rId15"/>
  </sheets>
  <definedNames>
    <definedName name="_xlchart.v1.0" hidden="1">('KHG JALAJÄLG KOOND'!$AH$24:$AH$25,'KHG JALAJÄLG KOOND'!$AH$27:$AH$29,'KHG JALAJÄLG KOOND'!$AH$31:$AH$37)</definedName>
    <definedName name="_xlchart.v1.1" hidden="1">('KHG JALAJÄLG KOOND'!$Y$24:$Z$25,'KHG JALAJÄLG KOOND'!$Y$27:$Z$29,'KHG JALAJÄLG KOOND'!$Y$31:$Z$37)</definedName>
    <definedName name="a_2022">ÜLDANDMED!$C$13</definedName>
    <definedName name="a_2023">ÜLDANDMED!$D$13</definedName>
    <definedName name="a_2024">ÜLDANDMED!$E$13</definedName>
    <definedName name="a_2025">ÜLDANDMED!$F$13</definedName>
    <definedName name="a_2026">ÜLDANDMED!$G$13</definedName>
    <definedName name="a_2027">ÜLDANDMED!$H$13</definedName>
    <definedName name="a_2028">ÜLDANDMED!$I$13</definedName>
    <definedName name="b_2022">ÜLDANDMED!$C$14</definedName>
    <definedName name="b_2023">ÜLDANDMED!$D$14</definedName>
    <definedName name="b_2024">ÜLDANDMED!$E$14</definedName>
    <definedName name="b_2025">ÜLDANDMED!$F$14</definedName>
    <definedName name="b_2026">ÜLDANDMED!$G$14</definedName>
    <definedName name="b_2027">ÜLDANDMED!$H$14</definedName>
    <definedName name="b_2028">ÜLDANDMED!$I$14</definedName>
    <definedName name="c_2022">ÜLDANDMED!$C$15</definedName>
    <definedName name="c_2023">ÜLDANDMED!$D$15</definedName>
    <definedName name="c_2024">ÜLDANDMED!$E$15</definedName>
    <definedName name="c_2025">ÜLDANDMED!$F$15</definedName>
    <definedName name="c_2026">ÜLDANDMED!$G$15</definedName>
    <definedName name="c_2027">ÜLDANDMED!$H$15</definedName>
    <definedName name="c_2028">ÜLDANDMED!$I$15</definedName>
    <definedName name="jäätmed_biojäätmed">'KHG eriheitetegurid'!$D$361</definedName>
    <definedName name="jäätmed_klaas">'KHG eriheitetegurid'!$D$362</definedName>
    <definedName name="jäätmed_paber">'KHG eriheitetegurid'!$D$363</definedName>
    <definedName name="jäätmed_segaolme_prügila">'KHG eriheitetegurid'!$D$365</definedName>
    <definedName name="jäätmed_segaolme_põletus">'KHG eriheitetegurid'!$D$366</definedName>
    <definedName name="jäätmed_segapakend">'KHG eriheitetegurid'!$D$364</definedName>
    <definedName name="kodukontor_elekter">'KHG eriheitetegurid'!$D$371</definedName>
    <definedName name="kodukontor_valgustus">'KHG eriheitetegurid'!$D$372</definedName>
    <definedName name="kütus_bensiin_kaubik_2022">'KHG eriheitetegurid'!$D$85</definedName>
    <definedName name="kütus_bensiin_kaubik_2023">'KHG eriheitetegurid'!$D$86</definedName>
    <definedName name="kütus_bensiin_kaubik_2024">'KHG eriheitetegurid'!$D$87</definedName>
    <definedName name="kütus_bensiin_kaubik_2025">'KHG eriheitetegurid'!$D$88</definedName>
    <definedName name="kütus_bensiin_kaubik_2026">'KHG eriheitetegurid'!$D$89</definedName>
    <definedName name="kütus_bensiin_kaubik_2027">'KHG eriheitetegurid'!$D$90</definedName>
    <definedName name="kütus_bensiin_kaubik_2028">'KHG eriheitetegurid'!$D$91</definedName>
    <definedName name="kütus_bensiin_sõiduauto_2022">'KHG eriheitetegurid'!$D$92</definedName>
    <definedName name="kütus_bensiin_sõiduauto_2023">'KHG eriheitetegurid'!$D$93</definedName>
    <definedName name="kütus_bensiin_sõiduauto_2024">'KHG eriheitetegurid'!$D$94</definedName>
    <definedName name="kütus_bensiin_sõiduauto_2025">'KHG eriheitetegurid'!$D$95</definedName>
    <definedName name="kütus_bensiin_sõiduauto_2026">'KHG eriheitetegurid'!$D$96</definedName>
    <definedName name="kütus_bensiin_sõiduauto_2027">'KHG eriheitetegurid'!$D$97</definedName>
    <definedName name="kütus_bensiin_sõiduauto_2028">'KHG eriheitetegurid'!$D$98</definedName>
    <definedName name="kütus_bioCNG_sõiduauto_2022">'KHG eriheitetegurid'!$D$99</definedName>
    <definedName name="kütus_bioCNG_sõiduauto_2023">'KHG eriheitetegurid'!$D$100</definedName>
    <definedName name="kütus_bioCNG_sõiduauto_2024">'KHG eriheitetegurid'!$D$101</definedName>
    <definedName name="kütus_bioCNG_sõiduauto_2025">'KHG eriheitetegurid'!$D$102</definedName>
    <definedName name="kütus_bioCNG_sõiduauto_2026">'KHG eriheitetegurid'!$D$103</definedName>
    <definedName name="kütus_bioCNG_sõiduauto_2027">'KHG eriheitetegurid'!$D$104</definedName>
    <definedName name="kütus_bioCNG_sõiduauto_2028">'KHG eriheitetegurid'!$D$105</definedName>
    <definedName name="kütus_CNG_sõiduauto_2022">'KHG eriheitetegurid'!$D$127</definedName>
    <definedName name="kütus_CNG_sõiduauto_2023">'KHG eriheitetegurid'!$D$128</definedName>
    <definedName name="kütus_CNG_sõiduauto_2024">'KHG eriheitetegurid'!$D$129</definedName>
    <definedName name="kütus_CNG_sõiduauto_2025">'KHG eriheitetegurid'!$D$130</definedName>
    <definedName name="kütus_CNG_sõiduauto_2026">'KHG eriheitetegurid'!$D$131</definedName>
    <definedName name="kütus_CNG_sõiduauto_2027">'KHG eriheitetegurid'!$D$132</definedName>
    <definedName name="kütus_CNG_sõiduauto_2028">'KHG eriheitetegurid'!$D$133</definedName>
    <definedName name="kütus_diisel_buss_2022">'KHG eriheitetegurid'!$D$106</definedName>
    <definedName name="kütus_diisel_buss_2023">'KHG eriheitetegurid'!$D$107</definedName>
    <definedName name="kütus_diisel_buss_2024">'KHG eriheitetegurid'!$D$108</definedName>
    <definedName name="kütus_diisel_buss_2025">'KHG eriheitetegurid'!$D$109</definedName>
    <definedName name="kütus_diisel_buss_2026">'KHG eriheitetegurid'!$D$110</definedName>
    <definedName name="kütus_diisel_buss_2027">'KHG eriheitetegurid'!$D$111</definedName>
    <definedName name="kütus_diisel_buss_2028">'KHG eriheitetegurid'!$D$112</definedName>
    <definedName name="kütus_diisel_kaubik_2022">'KHG eriheitetegurid'!$D$113</definedName>
    <definedName name="kütus_diisel_kaubik_2023">'KHG eriheitetegurid'!$D$114</definedName>
    <definedName name="kütus_diisel_kaubik_2024">'KHG eriheitetegurid'!$D$115</definedName>
    <definedName name="kütus_diisel_kaubik_2025">'KHG eriheitetegurid'!$D$116</definedName>
    <definedName name="kütus_diisel_kaubik_2026">'KHG eriheitetegurid'!$D$117</definedName>
    <definedName name="kütus_diisel_kaubik_2027">'KHG eriheitetegurid'!$D$118</definedName>
    <definedName name="kütus_diisel_kaubik_2028">'KHG eriheitetegurid'!$D$119</definedName>
    <definedName name="kütus_diisel_sõiduauto_2022">'KHG eriheitetegurid'!$D$120</definedName>
    <definedName name="kütus_diisel_sõiduauto_2023">'KHG eriheitetegurid'!$D$121</definedName>
    <definedName name="kütus_diisel_sõiduauto_2024">'KHG eriheitetegurid'!$D$122</definedName>
    <definedName name="kütus_diisel_sõiduauto_2025">'KHG eriheitetegurid'!$D$123</definedName>
    <definedName name="kütus_diisel_sõiduauto_2026">'KHG eriheitetegurid'!$D$124</definedName>
    <definedName name="kütus_diisel_sõiduauto_2027">'KHG eriheitetegurid'!$D$125</definedName>
    <definedName name="kütus_diisel_sõiduauto_2028">'KHG eriheitetegurid'!$D$126</definedName>
    <definedName name="kütus_taastuvelekter">'KHG eriheitetegurid'!$D$134</definedName>
    <definedName name="lehträtik">'KHG eriheitetegurid'!$D$355</definedName>
    <definedName name="lokaalküte_biomass_2022">'KHG eriheitetegurid'!$D$46</definedName>
    <definedName name="lokaalküte_biomass_2023">'KHG eriheitetegurid'!$D$47</definedName>
    <definedName name="lokaalküte_biomass_2024">'KHG eriheitetegurid'!$D$48</definedName>
    <definedName name="lokaalküte_biomass_2025">'KHG eriheitetegurid'!$D$49</definedName>
    <definedName name="lokaalküte_biomass_2026">'KHG eriheitetegurid'!$D$50</definedName>
    <definedName name="lokaalküte_biomass_2027">'KHG eriheitetegurid'!$D$51</definedName>
    <definedName name="lokaalküte_biomass_2028">'KHG eriheitetegurid'!$D$52</definedName>
    <definedName name="lokaalküte_freesturvas_2022">'KHG eriheitetegurid'!$D$53</definedName>
    <definedName name="lokaalküte_freesturvas_2023">'KHG eriheitetegurid'!$D$54</definedName>
    <definedName name="lokaalküte_freesturvas_2024">'KHG eriheitetegurid'!$D$55</definedName>
    <definedName name="lokaalküte_freesturvas_2025">'KHG eriheitetegurid'!$D$56</definedName>
    <definedName name="lokaalküte_freesturvas_2026">'KHG eriheitetegurid'!$D$57</definedName>
    <definedName name="lokaalküte_freesturvas_2027">'KHG eriheitetegurid'!$D$58</definedName>
    <definedName name="lokaalküte_freesturvas_2028">'KHG eriheitetegurid'!$D$59</definedName>
    <definedName name="lokaalküte_kütteõli_2022">'KHG eriheitetegurid'!$D$60</definedName>
    <definedName name="lokaalküte_kütteõli_2023">'KHG eriheitetegurid'!$D$61</definedName>
    <definedName name="lokaalküte_kütteõli_2024">'KHG eriheitetegurid'!$D$62</definedName>
    <definedName name="lokaalküte_kütteõli_2025">'KHG eriheitetegurid'!$D$63</definedName>
    <definedName name="lokaalküte_kütteõli_2026">'KHG eriheitetegurid'!$D$64</definedName>
    <definedName name="lokaalküte_kütteõli_2027">'KHG eriheitetegurid'!$D$65</definedName>
    <definedName name="lokaalküte_kütteõli_2028">'KHG eriheitetegurid'!$D$66</definedName>
    <definedName name="lokaalküte_maagaas_2022">'KHG eriheitetegurid'!$D$67</definedName>
    <definedName name="lokaalküte_maagaas_2023">'KHG eriheitetegurid'!$D$68</definedName>
    <definedName name="lokaalküte_maagaas_2024">'KHG eriheitetegurid'!$D$69</definedName>
    <definedName name="lokaalküte_maagaas_2025">'KHG eriheitetegurid'!$D$70</definedName>
    <definedName name="lokaalküte_maagaas_2026">'KHG eriheitetegurid'!$D$71</definedName>
    <definedName name="lokaalküte_maagaas_2027">'KHG eriheitetegurid'!$D$72</definedName>
    <definedName name="lokaalküte_maagaas_2028">'KHG eriheitetegurid'!$D$73</definedName>
    <definedName name="lokaalküte_põlevkiviõli_2022">'KHG eriheitetegurid'!$D$74</definedName>
    <definedName name="lokaalküte_põlevkiviõli_2023">'KHG eriheitetegurid'!$D$75</definedName>
    <definedName name="lokaalküte_põlevkiviõli_2024">'KHG eriheitetegurid'!$D$76</definedName>
    <definedName name="lokaalküte_põlevkiviõli_2025">'KHG eriheitetegurid'!$D$77</definedName>
    <definedName name="lokaalküte_põlevkiviõli_2026">'KHG eriheitetegurid'!$D$78</definedName>
    <definedName name="lokaalküte_põlevkiviõli_2027">'KHG eriheitetegurid'!$D$79</definedName>
    <definedName name="lokaalküte_põlevkiviõli_2028">'KHG eriheitetegurid'!$D$80</definedName>
    <definedName name="paber_2022">'KHG eriheitetegurid'!$D$348</definedName>
    <definedName name="paber_2023">'KHG eriheitetegurid'!$D$349</definedName>
    <definedName name="paber_2024">'KHG eriheitetegurid'!$D$350</definedName>
    <definedName name="paber_2025">'KHG eriheitetegurid'!$D$351</definedName>
    <definedName name="paber_2026">'KHG eriheitetegurid'!$D$352</definedName>
    <definedName name="paber_2027">'KHG eriheitetegurid'!$D$353</definedName>
    <definedName name="paber_2028">'KHG eriheitetegurid'!$D$354</definedName>
    <definedName name="segajääk_2022">'KHG eriheitetegurid'!$D$8</definedName>
    <definedName name="segajääk_2023">'KHG eriheitetegurid'!$D$9</definedName>
    <definedName name="segajääk_2024">'KHG eriheitetegurid'!$D$10</definedName>
    <definedName name="segajääk_2025">'KHG eriheitetegurid'!$D$11</definedName>
    <definedName name="segajääk_2026">'KHG eriheitetegurid'!$D$12</definedName>
    <definedName name="segajääk_2027">'KHG eriheitetegurid'!$D$13</definedName>
    <definedName name="segajääk_2028">'KHG eriheitetegurid'!$D$14</definedName>
    <definedName name="sõiduauto_bensiin_2022">'KHG eriheitetegurid'!$D$164</definedName>
    <definedName name="sõiduauto_bensiin_2023">'KHG eriheitetegurid'!$D$165</definedName>
    <definedName name="sõiduauto_bensiin_2024">'KHG eriheitetegurid'!$D$166</definedName>
    <definedName name="sõiduauto_bensiin_2025">'KHG eriheitetegurid'!$D$167</definedName>
    <definedName name="sõiduauto_bensiin_2026">'KHG eriheitetegurid'!$D$168</definedName>
    <definedName name="sõiduauto_bensiin_2027">'KHG eriheitetegurid'!$D$169</definedName>
    <definedName name="sõiduauto_bensiin_2028">'KHG eriheitetegurid'!$D$170</definedName>
    <definedName name="sõiduauto_bioCNG_2022">'KHG eriheitetegurid'!$D$178</definedName>
    <definedName name="sõiduauto_bioCNG_2023">'KHG eriheitetegurid'!$D$179</definedName>
    <definedName name="sõiduauto_bioCNG_2024">'KHG eriheitetegurid'!$D$180</definedName>
    <definedName name="sõiduauto_bioCNG_2025">'KHG eriheitetegurid'!$D$181</definedName>
    <definedName name="sõiduauto_bioCNG_2026">'KHG eriheitetegurid'!$D$182</definedName>
    <definedName name="sõiduauto_bioCNG_2027">'KHG eriheitetegurid'!$D$183</definedName>
    <definedName name="sõiduauto_bioCNG_2028">'KHG eriheitetegurid'!$D$184</definedName>
    <definedName name="sõiduauto_CNG_2022">'KHG eriheitetegurid'!$D$185</definedName>
    <definedName name="sõiduauto_CNG_2023">'KHG eriheitetegurid'!$D$186</definedName>
    <definedName name="sõiduauto_CNG_2024">'KHG eriheitetegurid'!$D$187</definedName>
    <definedName name="sõiduauto_CNG_2025">'KHG eriheitetegurid'!$D$188</definedName>
    <definedName name="sõiduauto_CNG_2026">'KHG eriheitetegurid'!$D$189</definedName>
    <definedName name="sõiduauto_CNG_2027">'KHG eriheitetegurid'!$D$190</definedName>
    <definedName name="sõiduauto_CNG_2028">'KHG eriheitetegurid'!$D$191</definedName>
    <definedName name="sõiduauto_diisel_2022">'KHG eriheitetegurid'!$D$171</definedName>
    <definedName name="sõiduauto_diisel_2023">'KHG eriheitetegurid'!$D$172</definedName>
    <definedName name="sõiduauto_diisel_2024">'KHG eriheitetegurid'!$D$173</definedName>
    <definedName name="sõiduauto_diisel_2025">'KHG eriheitetegurid'!$D$174</definedName>
    <definedName name="sõiduauto_diisel_2026">'KHG eriheitetegurid'!$D$175</definedName>
    <definedName name="sõiduauto_diisel_2027">'KHG eriheitetegurid'!$D$176</definedName>
    <definedName name="sõiduauto_diisel_2028">'KHG eriheitetegurid'!$D$177</definedName>
    <definedName name="sõiduauto_hübriid_2022">'KHG eriheitetegurid'!$D$192</definedName>
    <definedName name="sõiduauto_hübriid_2023">'KHG eriheitetegurid'!$D$193</definedName>
    <definedName name="sõiduauto_hübriid_2024">'KHG eriheitetegurid'!$D$194</definedName>
    <definedName name="sõiduauto_hübriid_2025">'KHG eriheitetegurid'!$D$195</definedName>
    <definedName name="sõiduauto_hübriid_2026">'KHG eriheitetegurid'!$D$196</definedName>
    <definedName name="sõiduauto_hübriid_2027">'KHG eriheitetegurid'!$D$197</definedName>
    <definedName name="sõiduauto_hübriid_2028">'KHG eriheitetegurid'!$D$198</definedName>
    <definedName name="sõiduauto_taastuvelekter">'KHG eriheitetegurid'!$D$199</definedName>
    <definedName name="sõiduauto_tavaelekter_2022">'KHG eriheitetegurid'!$D$200</definedName>
    <definedName name="sõiduauto_tavaelekter_2023">'KHG eriheitetegurid'!$D$201</definedName>
    <definedName name="sõiduauto_tavaelekter_2024">'KHG eriheitetegurid'!$D$202</definedName>
    <definedName name="sõiduauto_tavaelekter_2025">'KHG eriheitetegurid'!$D$203</definedName>
    <definedName name="sõiduauto_tavaelekter_2026">'KHG eriheitetegurid'!$D$204</definedName>
    <definedName name="sõiduauto_tavaelekter_2027">'KHG eriheitetegurid'!$D$205</definedName>
    <definedName name="sõiduauto_tavaelekter_2028">'KHG eriheitetegurid'!$D$206</definedName>
    <definedName name="sõiduk_buss_kaugliin_2022">'KHG eriheitetegurid'!$D$214</definedName>
    <definedName name="sõiduk_buss_kaugliin_2023">'KHG eriheitetegurid'!$D$215</definedName>
    <definedName name="sõiduk_buss_kaugliin_2024">'KHG eriheitetegurid'!$D$216</definedName>
    <definedName name="sõiduk_buss_kaugliin_2025">'KHG eriheitetegurid'!$D$217</definedName>
    <definedName name="sõiduk_buss_kaugliin_2026">'KHG eriheitetegurid'!$D$218</definedName>
    <definedName name="sõiduk_buss_kaugliin_2027">'KHG eriheitetegurid'!$D$219</definedName>
    <definedName name="sõiduk_buss_kaugliin_2028">'KHG eriheitetegurid'!$D$220</definedName>
    <definedName name="sõiduk_buss_linnaliin_Eesti_2022">'KHG eriheitetegurid'!$D$221</definedName>
    <definedName name="sõiduk_buss_linnaliin_Eesti_2023">'KHG eriheitetegurid'!$D$222</definedName>
    <definedName name="sõiduk_buss_linnaliin_Eesti_2024">'KHG eriheitetegurid'!$D$223</definedName>
    <definedName name="sõiduk_buss_linnaliin_Eesti_2025">'KHG eriheitetegurid'!$D$224</definedName>
    <definedName name="sõiduk_buss_linnaliin_Eesti_2026">'KHG eriheitetegurid'!$D$225</definedName>
    <definedName name="sõiduk_buss_linnaliin_Eesti_2027">'KHG eriheitetegurid'!$D$226</definedName>
    <definedName name="sõiduk_buss_linnaliin_Eesti_2028">'KHG eriheitetegurid'!$D$227</definedName>
    <definedName name="sõiduk_buss_linnaliin_Tallinn_2022">'KHG eriheitetegurid'!$D$228</definedName>
    <definedName name="sõiduk_buss_linnaliin_Tallinn_2023">'KHG eriheitetegurid'!$D$229</definedName>
    <definedName name="sõiduk_buss_linnaliin_Tallinn_2024">'KHG eriheitetegurid'!$D$230</definedName>
    <definedName name="sõiduk_buss_linnaliin_Tallinn_2025">'KHG eriheitetegurid'!$D$231</definedName>
    <definedName name="sõiduk_buss_linnaliin_Tallinn_2026">'KHG eriheitetegurid'!$D$232</definedName>
    <definedName name="sõiduk_buss_linnaliin_Tallinn_2027">'KHG eriheitetegurid'!$D$233</definedName>
    <definedName name="sõiduk_buss_linnaliin_Tallinn_2028">'KHG eriheitetegurid'!$D$234</definedName>
    <definedName name="sõiduk_buss_maakondlik_2022">'KHG eriheitetegurid'!$D$235</definedName>
    <definedName name="sõiduk_buss_maakondlik_2023">'KHG eriheitetegurid'!$D$236</definedName>
    <definedName name="sõiduk_buss_maakondlik_2024">'KHG eriheitetegurid'!$D$237</definedName>
    <definedName name="sõiduk_buss_maakondlik_2025">'KHG eriheitetegurid'!$D$238</definedName>
    <definedName name="sõiduk_buss_maakondlik_2026">'KHG eriheitetegurid'!$D$239</definedName>
    <definedName name="sõiduk_buss_maakondlik_2027">'KHG eriheitetegurid'!$D$240</definedName>
    <definedName name="sõiduk_buss_maakondlik_2028">'KHG eriheitetegurid'!$D$241</definedName>
    <definedName name="sõiduk_diiselrong_2022">'KHG eriheitetegurid'!$D$243</definedName>
    <definedName name="sõiduk_diiselrong_2023">'KHG eriheitetegurid'!$D$244</definedName>
    <definedName name="sõiduk_diiselrong_2024">'KHG eriheitetegurid'!$D$245</definedName>
    <definedName name="sõiduk_diiselrong_2025">'KHG eriheitetegurid'!$D$246</definedName>
    <definedName name="sõiduk_diiselrong_2026">'KHG eriheitetegurid'!$D$247</definedName>
    <definedName name="sõiduk_diiselrong_2027">'KHG eriheitetegurid'!$D$248</definedName>
    <definedName name="sõiduk_diiselrong_2028">'KHG eriheitetegurid'!$D$249</definedName>
    <definedName name="sõiduk_elektrirong">'KHG eriheitetegurid'!$D$242</definedName>
    <definedName name="sõiduk_laev_2022">'KHG eriheitetegurid'!$D$250</definedName>
    <definedName name="sõiduk_laev_2023">'KHG eriheitetegurid'!$D$251</definedName>
    <definedName name="sõiduk_laev_2024">'KHG eriheitetegurid'!$D$252</definedName>
    <definedName name="sõiduk_laev_2025">'KHG eriheitetegurid'!$D$253</definedName>
    <definedName name="sõiduk_laev_2026">'KHG eriheitetegurid'!$D$254</definedName>
    <definedName name="sõiduk_laev_2027">'KHG eriheitetegurid'!$D$255</definedName>
    <definedName name="sõiduk_laev_2028">'KHG eriheitetegurid'!$D$256</definedName>
    <definedName name="sõiduk_lennuk_2022">'KHG eriheitetegurid'!$D$257</definedName>
    <definedName name="sõiduk_lennuk_2023">'KHG eriheitetegurid'!$D$258</definedName>
    <definedName name="sõiduk_lennuk_2024">'KHG eriheitetegurid'!$D$259</definedName>
    <definedName name="sõiduk_lennuk_2025">'KHG eriheitetegurid'!$D$260</definedName>
    <definedName name="sõiduk_lennuk_2026">'KHG eriheitetegurid'!$D$261</definedName>
    <definedName name="sõiduk_lennuk_2027">'KHG eriheitetegurid'!$D$262</definedName>
    <definedName name="sõiduk_lennuk_2028">'KHG eriheitetegurid'!$D$263</definedName>
    <definedName name="sõiduk_taastuvelektriratas">'KHG eriheitetegurid'!$D$273</definedName>
    <definedName name="sõiduk_takso_2022">'KHG eriheitetegurid'!$D$207</definedName>
    <definedName name="sõiduk_takso_2023">'KHG eriheitetegurid'!$D$208</definedName>
    <definedName name="sõiduk_takso_2024">'KHG eriheitetegurid'!$D$209</definedName>
    <definedName name="sõiduk_takso_2025">'KHG eriheitetegurid'!$D$210</definedName>
    <definedName name="sõiduk_takso_2026">'KHG eriheitetegurid'!$D$211</definedName>
    <definedName name="sõiduk_takso_2027">'KHG eriheitetegurid'!$D$212</definedName>
    <definedName name="sõiduk_takso_2028">'KHG eriheitetegurid'!$D$213</definedName>
    <definedName name="sõiduk_tavaelektriratas_2022">'KHG eriheitetegurid'!$D$266</definedName>
    <definedName name="sõiduk_tavaelektriratas_2023">'KHG eriheitetegurid'!$D$267</definedName>
    <definedName name="sõiduk_tavaelektriratas_2024">'KHG eriheitetegurid'!$D$268</definedName>
    <definedName name="sõiduk_tavaelektriratas_2025">'KHG eriheitetegurid'!$D$269</definedName>
    <definedName name="sõiduk_tavaelektriratas_2026">'KHG eriheitetegurid'!$D$270</definedName>
    <definedName name="sõiduk_tavaelektriratas_2027">'KHG eriheitetegurid'!$D$271</definedName>
    <definedName name="sõiduk_tavaelektriratas_2028">'KHG eriheitetegurid'!$D$272</definedName>
    <definedName name="sõiduk_tavajalgratas">'KHG eriheitetegurid'!$D$265</definedName>
    <definedName name="sõiduk_tramm">'KHG eriheitetegurid'!$D$264</definedName>
    <definedName name="transport_buss_2022">'KHG eriheitetegurid'!$D$323</definedName>
    <definedName name="transport_buss_2023">'KHG eriheitetegurid'!$D$324</definedName>
    <definedName name="transport_buss_2024">'KHG eriheitetegurid'!$D$325</definedName>
    <definedName name="transport_buss_2025">'KHG eriheitetegurid'!$D$326</definedName>
    <definedName name="transport_buss_2026">'KHG eriheitetegurid'!$D$327</definedName>
    <definedName name="transport_buss_2027">'KHG eriheitetegurid'!$D$328</definedName>
    <definedName name="transport_buss_2028">'KHG eriheitetegurid'!$D$329</definedName>
    <definedName name="transport_kaubik_bensiin_km_2022">'KHG eriheitetegurid'!$D$279</definedName>
    <definedName name="transport_kaubik_bensiin_km_2023">'KHG eriheitetegurid'!$D$280</definedName>
    <definedName name="transport_kaubik_bensiin_km_2024">'KHG eriheitetegurid'!$D$281</definedName>
    <definedName name="transport_kaubik_bensiin_km_2025">'KHG eriheitetegurid'!$D$282</definedName>
    <definedName name="transport_kaubik_bensiin_km_2026">'KHG eriheitetegurid'!$D$283</definedName>
    <definedName name="transport_kaubik_bensiin_km_2027">'KHG eriheitetegurid'!$D$284</definedName>
    <definedName name="transport_kaubik_bensiin_km_2028">'KHG eriheitetegurid'!$D$285</definedName>
    <definedName name="transport_kaubik_bensiin_tonnkm_2022">'KHG eriheitetegurid'!$D$286</definedName>
    <definedName name="transport_kaubik_bensiin_tonnkm_2023">'KHG eriheitetegurid'!$D$287</definedName>
    <definedName name="transport_kaubik_bensiin_tonnkm_2024">'KHG eriheitetegurid'!$D$288</definedName>
    <definedName name="transport_kaubik_bensiin_tonnkm_2025">'KHG eriheitetegurid'!$D$289</definedName>
    <definedName name="transport_kaubik_bensiin_tonnkm_2026">'KHG eriheitetegurid'!$D$290</definedName>
    <definedName name="transport_kaubik_bensiin_tonnkm_2027">'KHG eriheitetegurid'!$D$291</definedName>
    <definedName name="transport_kaubik_bensiin_tonnkm_2028">'KHG eriheitetegurid'!$D$292</definedName>
    <definedName name="transport_kaubik_diisel_km_2022">'KHG eriheitetegurid'!$D$293</definedName>
    <definedName name="transport_kaubik_diisel_km_2023">'KHG eriheitetegurid'!$D$294</definedName>
    <definedName name="transport_kaubik_diisel_km_2024">'KHG eriheitetegurid'!$D$295</definedName>
    <definedName name="transport_kaubik_diisel_km_2025">'KHG eriheitetegurid'!$D$296</definedName>
    <definedName name="transport_kaubik_diisel_km_2026">'KHG eriheitetegurid'!$D$297</definedName>
    <definedName name="transport_kaubik_diisel_km_2027">'KHG eriheitetegurid'!$D$298</definedName>
    <definedName name="transport_kaubik_diisel_km_2028">'KHG eriheitetegurid'!$D$299</definedName>
    <definedName name="transport_kaubik_diisel_tonnkm_2022">'KHG eriheitetegurid'!$D$300</definedName>
    <definedName name="transport_kaubik_diisel_tonnkm_2023">'KHG eriheitetegurid'!$D$301</definedName>
    <definedName name="transport_kaubik_diisel_tonnkm_2024">'KHG eriheitetegurid'!$D$302</definedName>
    <definedName name="transport_kaubik_diisel_tonnkm_2025">'KHG eriheitetegurid'!$D$303</definedName>
    <definedName name="transport_kaubik_diisel_tonnkm_2026">'KHG eriheitetegurid'!$D$304</definedName>
    <definedName name="transport_kaubik_diisel_tonnkm_2027">'KHG eriheitetegurid'!$D$305</definedName>
    <definedName name="transport_kaubik_diisel_tonnkm_2028">'KHG eriheitetegurid'!$D$306</definedName>
    <definedName name="transport_kaubik_taastuvelekter_km">'KHG eriheitetegurid'!$D$307</definedName>
    <definedName name="transport_kaubik_taastuvelekter_tonnkm">'KHG eriheitetegurid'!$D$308</definedName>
    <definedName name="transport_kaubik_tavaelekter_km_2022">'KHG eriheitetegurid'!$D$309</definedName>
    <definedName name="transport_kaubik_tavaelekter_km_2023">'KHG eriheitetegurid'!$D$310</definedName>
    <definedName name="transport_kaubik_tavaelekter_km_2024">'KHG eriheitetegurid'!$D$311</definedName>
    <definedName name="transport_kaubik_tavaelekter_km_2025">'KHG eriheitetegurid'!$D$312</definedName>
    <definedName name="transport_kaubik_tavaelekter_km_2026">'KHG eriheitetegurid'!$D$313</definedName>
    <definedName name="transport_kaubik_tavaelekter_km_2027">'KHG eriheitetegurid'!$D$314</definedName>
    <definedName name="transport_kaubik_tavaelekter_km_2028">'KHG eriheitetegurid'!$D$315</definedName>
    <definedName name="transport_kaubik_tavaelekter_tonnkm_2022">'KHG eriheitetegurid'!$D$316</definedName>
    <definedName name="transport_kaubik_tavaelekter_tonnkm_2023">'KHG eriheitetegurid'!$D$317</definedName>
    <definedName name="transport_kaubik_tavaelekter_tonnkm_2024">'KHG eriheitetegurid'!$D$318</definedName>
    <definedName name="transport_kaubik_tavaelekter_tonnkm_2025">'KHG eriheitetegurid'!$D$319</definedName>
    <definedName name="transport_kaubik_tavaelekter_tonnkm_2026">'KHG eriheitetegurid'!$D$320</definedName>
    <definedName name="transport_kaubik_tavaelekter_tonnkm_2027">'KHG eriheitetegurid'!$D$321</definedName>
    <definedName name="transport_kaubik_tavaelekter_tonnkm_2028">'KHG eriheitetegurid'!$D$322</definedName>
    <definedName name="transport_väikebuss_2022">'KHG eriheitetegurid'!$D$330</definedName>
    <definedName name="transport_väikebuss_2023">'KHG eriheitetegurid'!$D$331</definedName>
    <definedName name="transport_väikebuss_2024">'KHG eriheitetegurid'!$D$332</definedName>
    <definedName name="transport_väikebuss_2025">'KHG eriheitetegurid'!$D$333</definedName>
    <definedName name="transport_väikebuss_2026">'KHG eriheitetegurid'!$D$334</definedName>
    <definedName name="transport_väikebuss_2027">'KHG eriheitetegurid'!$D$335</definedName>
    <definedName name="transport_väikebuss_2028">'KHG eriheitetegurid'!$D$336</definedName>
    <definedName name="tualettpaber">'KHG eriheitetegurid'!$D$356</definedName>
    <definedName name="tööle_koju_jalgsi">'KHG eriheitetegurid'!$D$274</definedName>
    <definedName name="vesi_2022">'KHG eriheitetegurid'!$D$341</definedName>
    <definedName name="vesi_2023">'KHG eriheitetegurid'!$D$342</definedName>
    <definedName name="vesi_2024">'KHG eriheitetegurid'!$D$343</definedName>
    <definedName name="vesi_2025">'KHG eriheitetegurid'!$D$344</definedName>
    <definedName name="vesi_2026">'KHG eriheitetegurid'!$D$345</definedName>
    <definedName name="vesi_2027">'KHG eriheitetegurid'!$D$346</definedName>
    <definedName name="vesi_2028">'KHG eriheitetegurid'!$D$347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19" l="1"/>
  <c r="H50" i="19"/>
  <c r="G50" i="19"/>
  <c r="F50" i="19"/>
  <c r="E50" i="19"/>
  <c r="D50" i="19"/>
  <c r="I49" i="19"/>
  <c r="H49" i="19"/>
  <c r="G49" i="19"/>
  <c r="F49" i="19"/>
  <c r="E49" i="19"/>
  <c r="D49" i="19"/>
  <c r="I48" i="19"/>
  <c r="H48" i="19"/>
  <c r="G48" i="19"/>
  <c r="F48" i="19"/>
  <c r="E48" i="19"/>
  <c r="D48" i="19"/>
  <c r="I47" i="19"/>
  <c r="H47" i="19"/>
  <c r="G47" i="19"/>
  <c r="F47" i="19"/>
  <c r="E47" i="19"/>
  <c r="D47" i="19"/>
  <c r="I25" i="8"/>
  <c r="H25" i="8"/>
  <c r="G25" i="8"/>
  <c r="F25" i="8"/>
  <c r="E25" i="8"/>
  <c r="D25" i="8"/>
  <c r="C25" i="8"/>
  <c r="O15" i="2" l="1"/>
  <c r="D15" i="2" l="1"/>
  <c r="D16" i="2" s="1"/>
  <c r="P15" i="3"/>
  <c r="P16" i="3" s="1"/>
  <c r="D30" i="19" s="1"/>
  <c r="P13" i="3"/>
  <c r="P14" i="3" s="1"/>
  <c r="C30" i="19" s="1"/>
  <c r="O20" i="15"/>
  <c r="E13" i="28"/>
  <c r="P16" i="14"/>
  <c r="C21" i="19" s="1"/>
  <c r="P13" i="2"/>
  <c r="C11" i="19" s="1"/>
  <c r="E13" i="16"/>
  <c r="P18" i="14"/>
  <c r="P20" i="14"/>
  <c r="E15" i="8" s="1"/>
  <c r="E155" i="25"/>
  <c r="E132" i="25"/>
  <c r="E109" i="25"/>
  <c r="E86" i="25"/>
  <c r="E63" i="25"/>
  <c r="E40" i="25"/>
  <c r="E17" i="25"/>
  <c r="E172" i="28"/>
  <c r="E146" i="28"/>
  <c r="E120" i="28"/>
  <c r="E94" i="28"/>
  <c r="E68" i="28"/>
  <c r="E42" i="28"/>
  <c r="E16" i="28"/>
  <c r="E18" i="25"/>
  <c r="E17" i="28"/>
  <c r="E26" i="16"/>
  <c r="E27" i="16"/>
  <c r="E28" i="16"/>
  <c r="E29" i="16"/>
  <c r="E35" i="30"/>
  <c r="F35" i="30" s="1"/>
  <c r="E36" i="30"/>
  <c r="F36" i="30" s="1"/>
  <c r="E37" i="30"/>
  <c r="F37" i="30"/>
  <c r="E38" i="30"/>
  <c r="F38" i="30" s="1"/>
  <c r="E39" i="30"/>
  <c r="F39" i="30"/>
  <c r="E40" i="30"/>
  <c r="F40" i="30" s="1"/>
  <c r="E41" i="30"/>
  <c r="F41" i="30"/>
  <c r="E42" i="30"/>
  <c r="F42" i="30" s="1"/>
  <c r="E43" i="30"/>
  <c r="F43" i="30"/>
  <c r="E44" i="30"/>
  <c r="F44" i="30" s="1"/>
  <c r="E45" i="30"/>
  <c r="F45" i="30"/>
  <c r="E39" i="16"/>
  <c r="E40" i="16"/>
  <c r="E41" i="16"/>
  <c r="E42" i="16"/>
  <c r="E54" i="30"/>
  <c r="F54" i="30"/>
  <c r="E55" i="30"/>
  <c r="F55" i="30"/>
  <c r="E56" i="30"/>
  <c r="F56" i="30"/>
  <c r="E57" i="30"/>
  <c r="F57" i="30" s="1"/>
  <c r="E58" i="30"/>
  <c r="F58" i="30"/>
  <c r="E59" i="30"/>
  <c r="F59" i="30"/>
  <c r="E60" i="30"/>
  <c r="F60" i="30"/>
  <c r="E61" i="30"/>
  <c r="F61" i="30" s="1"/>
  <c r="E62" i="30"/>
  <c r="F62" i="30"/>
  <c r="E63" i="30"/>
  <c r="F63" i="30"/>
  <c r="E64" i="30"/>
  <c r="F64" i="30"/>
  <c r="E52" i="16"/>
  <c r="E53" i="16"/>
  <c r="E54" i="16"/>
  <c r="E55" i="16"/>
  <c r="E58" i="16"/>
  <c r="F9" i="8" s="1"/>
  <c r="E73" i="30"/>
  <c r="F73" i="30"/>
  <c r="E74" i="30"/>
  <c r="F74" i="30" s="1"/>
  <c r="E75" i="30"/>
  <c r="F75" i="30"/>
  <c r="E76" i="30"/>
  <c r="F76" i="30" s="1"/>
  <c r="E77" i="30"/>
  <c r="F77" i="30"/>
  <c r="E78" i="30"/>
  <c r="F78" i="30" s="1"/>
  <c r="E79" i="30"/>
  <c r="F79" i="30"/>
  <c r="E80" i="30"/>
  <c r="F80" i="30" s="1"/>
  <c r="E81" i="30"/>
  <c r="F81" i="30"/>
  <c r="E82" i="30"/>
  <c r="F82" i="30" s="1"/>
  <c r="E83" i="30"/>
  <c r="F83" i="30"/>
  <c r="E65" i="16"/>
  <c r="E71" i="16" s="1"/>
  <c r="G9" i="8" s="1"/>
  <c r="E66" i="16"/>
  <c r="E67" i="16"/>
  <c r="E68" i="16"/>
  <c r="E92" i="30"/>
  <c r="F92" i="30" s="1"/>
  <c r="E93" i="30"/>
  <c r="F93" i="30"/>
  <c r="E94" i="30"/>
  <c r="F94" i="30"/>
  <c r="E95" i="30"/>
  <c r="F95" i="30"/>
  <c r="E96" i="30"/>
  <c r="F96" i="30" s="1"/>
  <c r="E97" i="30"/>
  <c r="F97" i="30"/>
  <c r="E98" i="30"/>
  <c r="F98" i="30"/>
  <c r="E99" i="30"/>
  <c r="F99" i="30"/>
  <c r="E100" i="30"/>
  <c r="F100" i="30" s="1"/>
  <c r="E101" i="30"/>
  <c r="F101" i="30"/>
  <c r="E102" i="30"/>
  <c r="F102" i="30"/>
  <c r="E78" i="16"/>
  <c r="E84" i="16" s="1"/>
  <c r="H9" i="8" s="1"/>
  <c r="E79" i="16"/>
  <c r="E80" i="16"/>
  <c r="E81" i="16"/>
  <c r="E111" i="30"/>
  <c r="F111" i="30" s="1"/>
  <c r="F122" i="30" s="1"/>
  <c r="H10" i="8" s="1"/>
  <c r="E112" i="30"/>
  <c r="F112" i="30"/>
  <c r="E113" i="30"/>
  <c r="F113" i="30" s="1"/>
  <c r="E114" i="30"/>
  <c r="F114" i="30"/>
  <c r="E115" i="30"/>
  <c r="F115" i="30" s="1"/>
  <c r="E116" i="30"/>
  <c r="F116" i="30"/>
  <c r="E117" i="30"/>
  <c r="F117" i="30" s="1"/>
  <c r="E118" i="30"/>
  <c r="F118" i="30"/>
  <c r="E119" i="30"/>
  <c r="F119" i="30" s="1"/>
  <c r="E120" i="30"/>
  <c r="F120" i="30"/>
  <c r="E121" i="30"/>
  <c r="F121" i="30" s="1"/>
  <c r="E91" i="16"/>
  <c r="E97" i="16" s="1"/>
  <c r="I9" i="8" s="1"/>
  <c r="E92" i="16"/>
  <c r="E93" i="16"/>
  <c r="E94" i="16"/>
  <c r="E130" i="30"/>
  <c r="F130" i="30"/>
  <c r="E131" i="30"/>
  <c r="F131" i="30" s="1"/>
  <c r="E132" i="30"/>
  <c r="F132" i="30"/>
  <c r="E133" i="30"/>
  <c r="F133" i="30"/>
  <c r="E134" i="30"/>
  <c r="F134" i="30"/>
  <c r="E135" i="30"/>
  <c r="F135" i="30" s="1"/>
  <c r="E136" i="30"/>
  <c r="F136" i="30"/>
  <c r="E137" i="30"/>
  <c r="F137" i="30"/>
  <c r="E138" i="30"/>
  <c r="F138" i="30"/>
  <c r="E139" i="30"/>
  <c r="F139" i="30" s="1"/>
  <c r="E140" i="30"/>
  <c r="F140" i="30"/>
  <c r="E14" i="16"/>
  <c r="E15" i="16"/>
  <c r="E16" i="16"/>
  <c r="E16" i="30"/>
  <c r="F16" i="30" s="1"/>
  <c r="E17" i="30"/>
  <c r="F17" i="30"/>
  <c r="E18" i="30"/>
  <c r="F18" i="30"/>
  <c r="E19" i="30"/>
  <c r="F19" i="30" s="1"/>
  <c r="E20" i="30"/>
  <c r="F20" i="30"/>
  <c r="E21" i="30"/>
  <c r="F21" i="30"/>
  <c r="E22" i="30"/>
  <c r="F22" i="30"/>
  <c r="E23" i="30"/>
  <c r="F23" i="30" s="1"/>
  <c r="E24" i="30"/>
  <c r="F24" i="30"/>
  <c r="E25" i="30"/>
  <c r="F25" i="30"/>
  <c r="E26" i="30"/>
  <c r="F26" i="30"/>
  <c r="P25" i="3"/>
  <c r="P26" i="3" s="1"/>
  <c r="I30" i="19" s="1"/>
  <c r="P23" i="3"/>
  <c r="P24" i="3" s="1"/>
  <c r="H30" i="19" s="1"/>
  <c r="P21" i="3"/>
  <c r="P22" i="3" s="1"/>
  <c r="G30" i="19" s="1"/>
  <c r="P19" i="3"/>
  <c r="P20" i="3" s="1"/>
  <c r="F30" i="19" s="1"/>
  <c r="P17" i="3"/>
  <c r="E24" i="8" s="1"/>
  <c r="G22" i="27"/>
  <c r="G37" i="27"/>
  <c r="J37" i="27" s="1"/>
  <c r="G52" i="27"/>
  <c r="G67" i="27"/>
  <c r="G82" i="27"/>
  <c r="G97" i="27"/>
  <c r="G112" i="27"/>
  <c r="D45" i="2"/>
  <c r="D46" i="2" s="1"/>
  <c r="E45" i="2"/>
  <c r="F45" i="2"/>
  <c r="G45" i="2"/>
  <c r="H45" i="2"/>
  <c r="H46" i="2" s="1"/>
  <c r="I45" i="2"/>
  <c r="J45" i="2"/>
  <c r="K45" i="2"/>
  <c r="L45" i="2"/>
  <c r="M45" i="2"/>
  <c r="N45" i="2"/>
  <c r="O45" i="2"/>
  <c r="D40" i="2"/>
  <c r="E40" i="2"/>
  <c r="F40" i="2"/>
  <c r="P40" i="2" s="1"/>
  <c r="G40" i="2"/>
  <c r="H40" i="2"/>
  <c r="I40" i="2"/>
  <c r="J40" i="2"/>
  <c r="J41" i="2" s="1"/>
  <c r="K40" i="2"/>
  <c r="L40" i="2"/>
  <c r="M40" i="2"/>
  <c r="N40" i="2"/>
  <c r="N41" i="2" s="1"/>
  <c r="O40" i="2"/>
  <c r="D35" i="2"/>
  <c r="D36" i="2" s="1"/>
  <c r="E35" i="2"/>
  <c r="F35" i="2"/>
  <c r="G35" i="2"/>
  <c r="H35" i="2"/>
  <c r="H36" i="2" s="1"/>
  <c r="I35" i="2"/>
  <c r="J35" i="2"/>
  <c r="K35" i="2"/>
  <c r="K36" i="2" s="1"/>
  <c r="L35" i="2"/>
  <c r="L36" i="2" s="1"/>
  <c r="M35" i="2"/>
  <c r="N35" i="2"/>
  <c r="O35" i="2"/>
  <c r="P35" i="2"/>
  <c r="G20" i="8" s="1"/>
  <c r="D30" i="2"/>
  <c r="P30" i="2" s="1"/>
  <c r="E30" i="2"/>
  <c r="F30" i="2"/>
  <c r="G30" i="2"/>
  <c r="H30" i="2"/>
  <c r="I30" i="2"/>
  <c r="J30" i="2"/>
  <c r="K30" i="2"/>
  <c r="L30" i="2"/>
  <c r="M30" i="2"/>
  <c r="M31" i="2" s="1"/>
  <c r="N30" i="2"/>
  <c r="N31" i="2" s="1"/>
  <c r="O30" i="2"/>
  <c r="D25" i="2"/>
  <c r="P25" i="2" s="1"/>
  <c r="E25" i="2"/>
  <c r="F25" i="2"/>
  <c r="G25" i="2"/>
  <c r="G26" i="2" s="1"/>
  <c r="H25" i="2"/>
  <c r="H26" i="2" s="1"/>
  <c r="I25" i="2"/>
  <c r="J25" i="2"/>
  <c r="K25" i="2"/>
  <c r="L25" i="2"/>
  <c r="L26" i="2" s="1"/>
  <c r="M25" i="2"/>
  <c r="N25" i="2"/>
  <c r="O25" i="2"/>
  <c r="O26" i="2" s="1"/>
  <c r="D20" i="2"/>
  <c r="E20" i="2"/>
  <c r="F20" i="2"/>
  <c r="P20" i="2" s="1"/>
  <c r="G20" i="2"/>
  <c r="H20" i="2"/>
  <c r="I20" i="2"/>
  <c r="I21" i="2" s="1"/>
  <c r="J20" i="2"/>
  <c r="J21" i="2" s="1"/>
  <c r="K20" i="2"/>
  <c r="L20" i="2"/>
  <c r="M20" i="2"/>
  <c r="N20" i="2"/>
  <c r="N21" i="2" s="1"/>
  <c r="O20" i="2"/>
  <c r="E15" i="2"/>
  <c r="P15" i="2" s="1"/>
  <c r="F15" i="2"/>
  <c r="G15" i="2"/>
  <c r="H15" i="2"/>
  <c r="I15" i="2"/>
  <c r="I16" i="2" s="1"/>
  <c r="J15" i="2"/>
  <c r="K15" i="2"/>
  <c r="L15" i="2"/>
  <c r="M15" i="2"/>
  <c r="N15" i="2"/>
  <c r="H14" i="8"/>
  <c r="P18" i="2"/>
  <c r="D14" i="8" s="1"/>
  <c r="E36" i="27"/>
  <c r="G36" i="27"/>
  <c r="E112" i="27"/>
  <c r="E97" i="27"/>
  <c r="E82" i="27"/>
  <c r="E67" i="27"/>
  <c r="E52" i="27"/>
  <c r="E37" i="27"/>
  <c r="G111" i="27"/>
  <c r="G96" i="27"/>
  <c r="G81" i="27"/>
  <c r="G66" i="27"/>
  <c r="G51" i="27"/>
  <c r="D306" i="17"/>
  <c r="D305" i="17"/>
  <c r="I92" i="27" s="1"/>
  <c r="J92" i="27" s="1"/>
  <c r="D304" i="17"/>
  <c r="D303" i="17"/>
  <c r="D302" i="17"/>
  <c r="I47" i="27" s="1"/>
  <c r="D301" i="17"/>
  <c r="I32" i="27" s="1"/>
  <c r="D292" i="17"/>
  <c r="D291" i="17"/>
  <c r="D290" i="17"/>
  <c r="I76" i="27" s="1"/>
  <c r="J76" i="27" s="1"/>
  <c r="D289" i="17"/>
  <c r="D288" i="17"/>
  <c r="I46" i="27" s="1"/>
  <c r="D287" i="17"/>
  <c r="D272" i="17"/>
  <c r="E187" i="28" s="1"/>
  <c r="D271" i="17"/>
  <c r="E161" i="28" s="1"/>
  <c r="D270" i="17"/>
  <c r="E135" i="28" s="1"/>
  <c r="D269" i="17"/>
  <c r="D268" i="17"/>
  <c r="E83" i="28" s="1"/>
  <c r="D267" i="17"/>
  <c r="E57" i="28" s="1"/>
  <c r="D266" i="17"/>
  <c r="E31" i="28" s="1"/>
  <c r="D206" i="17"/>
  <c r="D205" i="17"/>
  <c r="D204" i="17"/>
  <c r="E123" i="28" s="1"/>
  <c r="D203" i="17"/>
  <c r="E97" i="28" s="1"/>
  <c r="D202" i="17"/>
  <c r="D201" i="17"/>
  <c r="E45" i="28" s="1"/>
  <c r="D200" i="17"/>
  <c r="E19" i="28" s="1"/>
  <c r="D141" i="17"/>
  <c r="D140" i="17"/>
  <c r="D139" i="17"/>
  <c r="D138" i="17"/>
  <c r="D137" i="17"/>
  <c r="D136" i="17"/>
  <c r="D135" i="17"/>
  <c r="D315" i="17"/>
  <c r="D322" i="17" s="1"/>
  <c r="I109" i="27" s="1"/>
  <c r="D314" i="17"/>
  <c r="D313" i="17"/>
  <c r="D312" i="17"/>
  <c r="D311" i="17"/>
  <c r="D318" i="17" s="1"/>
  <c r="I49" i="27" s="1"/>
  <c r="D310" i="17"/>
  <c r="G34" i="27" s="1"/>
  <c r="D321" i="17"/>
  <c r="I94" i="27" s="1"/>
  <c r="D320" i="17"/>
  <c r="I79" i="27"/>
  <c r="D319" i="17"/>
  <c r="I64" i="27" s="1"/>
  <c r="D309" i="17"/>
  <c r="D316" i="17" s="1"/>
  <c r="I19" i="27" s="1"/>
  <c r="G94" i="27"/>
  <c r="J94" i="27" s="1"/>
  <c r="G79" i="27"/>
  <c r="G64" i="27"/>
  <c r="I107" i="27"/>
  <c r="I77" i="27"/>
  <c r="I62" i="27"/>
  <c r="D300" i="17"/>
  <c r="G107" i="27"/>
  <c r="G92" i="27"/>
  <c r="G77" i="27"/>
  <c r="J77" i="27" s="1"/>
  <c r="G62" i="27"/>
  <c r="G47" i="27"/>
  <c r="G32" i="27"/>
  <c r="I106" i="27"/>
  <c r="I91" i="27"/>
  <c r="I61" i="27"/>
  <c r="I31" i="27"/>
  <c r="D286" i="17"/>
  <c r="G106" i="27"/>
  <c r="G91" i="27"/>
  <c r="G76" i="27"/>
  <c r="G61" i="27"/>
  <c r="G46" i="27"/>
  <c r="G31" i="27"/>
  <c r="E109" i="28"/>
  <c r="E167" i="25"/>
  <c r="E144" i="25"/>
  <c r="E121" i="25"/>
  <c r="E98" i="25"/>
  <c r="E75" i="25"/>
  <c r="E52" i="25"/>
  <c r="E74" i="25"/>
  <c r="E97" i="25"/>
  <c r="E120" i="25"/>
  <c r="E166" i="25"/>
  <c r="E143" i="25"/>
  <c r="E51" i="25"/>
  <c r="E182" i="28"/>
  <c r="E156" i="28"/>
  <c r="E130" i="28"/>
  <c r="E104" i="28"/>
  <c r="E78" i="28"/>
  <c r="E52" i="28"/>
  <c r="E164" i="25"/>
  <c r="E141" i="25"/>
  <c r="E118" i="25"/>
  <c r="E95" i="25"/>
  <c r="E72" i="25"/>
  <c r="E49" i="25"/>
  <c r="E180" i="28"/>
  <c r="E154" i="28"/>
  <c r="E128" i="28"/>
  <c r="E102" i="28"/>
  <c r="E76" i="28"/>
  <c r="E50" i="28"/>
  <c r="E178" i="28"/>
  <c r="E152" i="28"/>
  <c r="E126" i="28"/>
  <c r="E100" i="28"/>
  <c r="E74" i="28"/>
  <c r="E48" i="28"/>
  <c r="E162" i="25"/>
  <c r="E139" i="25"/>
  <c r="E116" i="25"/>
  <c r="E93" i="25"/>
  <c r="E70" i="25"/>
  <c r="E47" i="25"/>
  <c r="E179" i="28"/>
  <c r="E153" i="28"/>
  <c r="E127" i="28"/>
  <c r="E101" i="28"/>
  <c r="E75" i="28"/>
  <c r="E49" i="28"/>
  <c r="E163" i="25"/>
  <c r="E140" i="25"/>
  <c r="E117" i="25"/>
  <c r="E94" i="25"/>
  <c r="E71" i="25"/>
  <c r="E48" i="25"/>
  <c r="E161" i="25"/>
  <c r="E138" i="25"/>
  <c r="E115" i="25"/>
  <c r="E92" i="25"/>
  <c r="E69" i="25"/>
  <c r="E46" i="25"/>
  <c r="E44" i="25"/>
  <c r="E175" i="28"/>
  <c r="E149" i="28"/>
  <c r="E71" i="28"/>
  <c r="E158" i="25"/>
  <c r="E135" i="25"/>
  <c r="E66" i="25"/>
  <c r="E173" i="28"/>
  <c r="E147" i="28"/>
  <c r="E121" i="28"/>
  <c r="E95" i="28"/>
  <c r="E69" i="28"/>
  <c r="E43" i="28"/>
  <c r="E156" i="25"/>
  <c r="E133" i="25"/>
  <c r="E110" i="25"/>
  <c r="E87" i="25"/>
  <c r="E64" i="25"/>
  <c r="E41" i="25"/>
  <c r="E171" i="28"/>
  <c r="E145" i="28"/>
  <c r="E119" i="28"/>
  <c r="E93" i="28"/>
  <c r="E67" i="28"/>
  <c r="E41" i="28"/>
  <c r="E154" i="25"/>
  <c r="E131" i="25"/>
  <c r="E108" i="25"/>
  <c r="E85" i="25"/>
  <c r="E62" i="25"/>
  <c r="E39" i="25"/>
  <c r="E170" i="28"/>
  <c r="E144" i="28"/>
  <c r="E118" i="28"/>
  <c r="E92" i="28"/>
  <c r="E66" i="28"/>
  <c r="E40" i="28"/>
  <c r="E153" i="25"/>
  <c r="E130" i="25"/>
  <c r="E107" i="25"/>
  <c r="E84" i="25"/>
  <c r="E61" i="25"/>
  <c r="E38" i="25"/>
  <c r="E169" i="28"/>
  <c r="E143" i="28"/>
  <c r="E117" i="28"/>
  <c r="E91" i="28"/>
  <c r="E65" i="28"/>
  <c r="E39" i="28"/>
  <c r="E152" i="25"/>
  <c r="E129" i="25"/>
  <c r="E145" i="25" s="1"/>
  <c r="H21" i="8" s="1"/>
  <c r="E106" i="25"/>
  <c r="E83" i="25"/>
  <c r="E60" i="25"/>
  <c r="E37" i="25"/>
  <c r="E109" i="27"/>
  <c r="E94" i="27"/>
  <c r="E79" i="27"/>
  <c r="J79" i="27" s="1"/>
  <c r="E64" i="27"/>
  <c r="J64" i="27" s="1"/>
  <c r="E49" i="27"/>
  <c r="E34" i="27"/>
  <c r="E96" i="16"/>
  <c r="E83" i="16"/>
  <c r="E85" i="16" s="1"/>
  <c r="H16" i="8" s="1"/>
  <c r="E70" i="16"/>
  <c r="E72" i="16" s="1"/>
  <c r="G16" i="8" s="1"/>
  <c r="E57" i="16"/>
  <c r="E44" i="16"/>
  <c r="E31" i="16"/>
  <c r="E33" i="16" s="1"/>
  <c r="D16" i="8" s="1"/>
  <c r="E107" i="27"/>
  <c r="E92" i="27"/>
  <c r="E77" i="27"/>
  <c r="E62" i="27"/>
  <c r="E47" i="27"/>
  <c r="E32" i="27"/>
  <c r="E111" i="27"/>
  <c r="J111" i="27" s="1"/>
  <c r="E96" i="27"/>
  <c r="J96" i="27" s="1"/>
  <c r="E81" i="27"/>
  <c r="E66" i="27"/>
  <c r="E51" i="27"/>
  <c r="E106" i="27"/>
  <c r="E91" i="27"/>
  <c r="E76" i="27"/>
  <c r="E61" i="27"/>
  <c r="E46" i="27"/>
  <c r="E31" i="27"/>
  <c r="P28" i="14"/>
  <c r="I15" i="8" s="1"/>
  <c r="R26" i="14"/>
  <c r="R24" i="14"/>
  <c r="R22" i="14"/>
  <c r="R20" i="14"/>
  <c r="R18" i="14"/>
  <c r="E25" i="25"/>
  <c r="E22" i="28"/>
  <c r="E23" i="28"/>
  <c r="E14" i="28"/>
  <c r="E15" i="28"/>
  <c r="E18" i="28"/>
  <c r="E20" i="28"/>
  <c r="E24" i="28"/>
  <c r="E25" i="28"/>
  <c r="E26" i="28"/>
  <c r="E27" i="28"/>
  <c r="E29" i="28"/>
  <c r="E30" i="28"/>
  <c r="E32" i="28"/>
  <c r="P183" i="15"/>
  <c r="D168" i="15"/>
  <c r="D164" i="15"/>
  <c r="P164" i="15" s="1"/>
  <c r="P156" i="15"/>
  <c r="D144" i="15"/>
  <c r="D134" i="15"/>
  <c r="D131" i="15"/>
  <c r="P129" i="15"/>
  <c r="D114" i="15"/>
  <c r="D110" i="15"/>
  <c r="P102" i="15"/>
  <c r="K146" i="15"/>
  <c r="D83" i="15"/>
  <c r="P83" i="15" s="1"/>
  <c r="P75" i="15"/>
  <c r="D56" i="15"/>
  <c r="P48" i="15"/>
  <c r="O166" i="15"/>
  <c r="G7" i="15"/>
  <c r="D80" i="15" s="1"/>
  <c r="G6" i="15"/>
  <c r="D185" i="15" s="1"/>
  <c r="G8" i="15"/>
  <c r="D137" i="15" s="1"/>
  <c r="P137" i="15" s="1"/>
  <c r="G5" i="15"/>
  <c r="D47" i="15" s="1"/>
  <c r="E50" i="15"/>
  <c r="E47" i="15"/>
  <c r="F50" i="15"/>
  <c r="F56" i="15"/>
  <c r="G50" i="15"/>
  <c r="G47" i="15"/>
  <c r="H50" i="15"/>
  <c r="H56" i="15"/>
  <c r="I50" i="15"/>
  <c r="I56" i="15"/>
  <c r="I47" i="15"/>
  <c r="J50" i="15"/>
  <c r="J56" i="15"/>
  <c r="J47" i="15"/>
  <c r="K50" i="15"/>
  <c r="K56" i="15"/>
  <c r="K47" i="15"/>
  <c r="L50" i="15"/>
  <c r="L56" i="15"/>
  <c r="L47" i="15"/>
  <c r="M50" i="15"/>
  <c r="M56" i="15"/>
  <c r="M47" i="15"/>
  <c r="N50" i="15"/>
  <c r="N56" i="15"/>
  <c r="N47" i="15"/>
  <c r="O50" i="15"/>
  <c r="O56" i="15"/>
  <c r="O47" i="15"/>
  <c r="D182" i="15"/>
  <c r="E185" i="15"/>
  <c r="E191" i="15"/>
  <c r="E182" i="15"/>
  <c r="F185" i="15"/>
  <c r="F191" i="15"/>
  <c r="F182" i="15"/>
  <c r="G185" i="15"/>
  <c r="G191" i="15"/>
  <c r="G182" i="15"/>
  <c r="H185" i="15"/>
  <c r="H191" i="15"/>
  <c r="H182" i="15"/>
  <c r="I185" i="15"/>
  <c r="I191" i="15"/>
  <c r="I182" i="15"/>
  <c r="J185" i="15"/>
  <c r="J191" i="15"/>
  <c r="J182" i="15"/>
  <c r="K185" i="15"/>
  <c r="K191" i="15"/>
  <c r="K182" i="15"/>
  <c r="L185" i="15"/>
  <c r="L191" i="15"/>
  <c r="L182" i="15"/>
  <c r="M185" i="15"/>
  <c r="M191" i="15"/>
  <c r="M182" i="15"/>
  <c r="N185" i="15"/>
  <c r="N191" i="15"/>
  <c r="N182" i="15"/>
  <c r="O185" i="15"/>
  <c r="O191" i="15"/>
  <c r="O182" i="15"/>
  <c r="D155" i="15"/>
  <c r="E161" i="15"/>
  <c r="E166" i="15" s="1"/>
  <c r="E158" i="15"/>
  <c r="E164" i="15"/>
  <c r="E155" i="15"/>
  <c r="F158" i="15"/>
  <c r="F164" i="15"/>
  <c r="F155" i="15"/>
  <c r="G161" i="15"/>
  <c r="G166" i="15" s="1"/>
  <c r="G158" i="15"/>
  <c r="G164" i="15"/>
  <c r="G155" i="15"/>
  <c r="H158" i="15"/>
  <c r="H164" i="15"/>
  <c r="H155" i="15"/>
  <c r="I161" i="15"/>
  <c r="I166" i="15" s="1"/>
  <c r="I158" i="15"/>
  <c r="I164" i="15"/>
  <c r="I155" i="15"/>
  <c r="J158" i="15"/>
  <c r="J164" i="15"/>
  <c r="J155" i="15"/>
  <c r="K158" i="15"/>
  <c r="K164" i="15"/>
  <c r="K155" i="15"/>
  <c r="L158" i="15"/>
  <c r="L164" i="15"/>
  <c r="L155" i="15"/>
  <c r="M161" i="15"/>
  <c r="M166" i="15" s="1"/>
  <c r="M158" i="15"/>
  <c r="M164" i="15"/>
  <c r="M155" i="15"/>
  <c r="N158" i="15"/>
  <c r="N164" i="15"/>
  <c r="N155" i="15"/>
  <c r="O161" i="15"/>
  <c r="O158" i="15"/>
  <c r="O164" i="15"/>
  <c r="O155" i="15"/>
  <c r="D128" i="15"/>
  <c r="E131" i="15"/>
  <c r="E137" i="15"/>
  <c r="E128" i="15"/>
  <c r="F131" i="15"/>
  <c r="F137" i="15"/>
  <c r="F128" i="15"/>
  <c r="G131" i="15"/>
  <c r="G137" i="15"/>
  <c r="G128" i="15"/>
  <c r="P128" i="15" s="1"/>
  <c r="H131" i="15"/>
  <c r="H137" i="15"/>
  <c r="H128" i="15"/>
  <c r="I131" i="15"/>
  <c r="I137" i="15"/>
  <c r="I128" i="15"/>
  <c r="J131" i="15"/>
  <c r="J137" i="15"/>
  <c r="J128" i="15"/>
  <c r="K131" i="15"/>
  <c r="K137" i="15"/>
  <c r="K128" i="15"/>
  <c r="L131" i="15"/>
  <c r="L137" i="15"/>
  <c r="L128" i="15"/>
  <c r="M131" i="15"/>
  <c r="M137" i="15"/>
  <c r="M128" i="15"/>
  <c r="N131" i="15"/>
  <c r="N137" i="15"/>
  <c r="N128" i="15"/>
  <c r="O131" i="15"/>
  <c r="O137" i="15"/>
  <c r="O128" i="15"/>
  <c r="D101" i="15"/>
  <c r="E104" i="15"/>
  <c r="E110" i="15"/>
  <c r="E101" i="15"/>
  <c r="F104" i="15"/>
  <c r="F110" i="15"/>
  <c r="F101" i="15"/>
  <c r="G104" i="15"/>
  <c r="G110" i="15"/>
  <c r="G101" i="15"/>
  <c r="H107" i="15"/>
  <c r="H104" i="15"/>
  <c r="H110" i="15"/>
  <c r="H101" i="15"/>
  <c r="I104" i="15"/>
  <c r="I110" i="15"/>
  <c r="I101" i="15"/>
  <c r="J107" i="15"/>
  <c r="J112" i="15" s="1"/>
  <c r="J104" i="15"/>
  <c r="J110" i="15"/>
  <c r="J101" i="15"/>
  <c r="K104" i="15"/>
  <c r="K110" i="15"/>
  <c r="K101" i="15"/>
  <c r="L107" i="15"/>
  <c r="L112" i="15" s="1"/>
  <c r="L104" i="15"/>
  <c r="L110" i="15"/>
  <c r="L101" i="15"/>
  <c r="M104" i="15"/>
  <c r="M110" i="15"/>
  <c r="M101" i="15"/>
  <c r="N104" i="15"/>
  <c r="N110" i="15"/>
  <c r="N101" i="15"/>
  <c r="O104" i="15"/>
  <c r="O110" i="15"/>
  <c r="O101" i="15"/>
  <c r="D74" i="15"/>
  <c r="P74" i="15" s="1"/>
  <c r="E77" i="15"/>
  <c r="E83" i="15"/>
  <c r="E74" i="15"/>
  <c r="F77" i="15"/>
  <c r="F83" i="15"/>
  <c r="F74" i="15"/>
  <c r="G77" i="15"/>
  <c r="G83" i="15"/>
  <c r="G74" i="15"/>
  <c r="H77" i="15"/>
  <c r="H83" i="15"/>
  <c r="H74" i="15"/>
  <c r="I77" i="15"/>
  <c r="I83" i="15"/>
  <c r="I74" i="15"/>
  <c r="J77" i="15"/>
  <c r="J83" i="15"/>
  <c r="J74" i="15"/>
  <c r="K77" i="15"/>
  <c r="K83" i="15"/>
  <c r="K74" i="15"/>
  <c r="L77" i="15"/>
  <c r="L83" i="15"/>
  <c r="L74" i="15"/>
  <c r="M77" i="15"/>
  <c r="M83" i="15"/>
  <c r="M74" i="15"/>
  <c r="N77" i="15"/>
  <c r="N83" i="15"/>
  <c r="N74" i="15"/>
  <c r="O77" i="15"/>
  <c r="O83" i="15"/>
  <c r="O74" i="15"/>
  <c r="D23" i="15"/>
  <c r="D29" i="15"/>
  <c r="D20" i="15"/>
  <c r="G9" i="15"/>
  <c r="I63" i="15" s="1"/>
  <c r="J60" i="15"/>
  <c r="L60" i="15"/>
  <c r="G63" i="15"/>
  <c r="O63" i="15"/>
  <c r="P51" i="15"/>
  <c r="P54" i="15"/>
  <c r="P57" i="15"/>
  <c r="P61" i="15"/>
  <c r="P64" i="15"/>
  <c r="P199" i="15"/>
  <c r="P172" i="15"/>
  <c r="P145" i="15"/>
  <c r="P118" i="15"/>
  <c r="P91" i="15"/>
  <c r="P196" i="15"/>
  <c r="P169" i="15"/>
  <c r="P142" i="15"/>
  <c r="P115" i="15"/>
  <c r="P88" i="15"/>
  <c r="P192" i="15"/>
  <c r="P165" i="15"/>
  <c r="P138" i="15"/>
  <c r="P111" i="15"/>
  <c r="P84" i="15"/>
  <c r="P189" i="15"/>
  <c r="P162" i="15"/>
  <c r="P135" i="15"/>
  <c r="P108" i="15"/>
  <c r="P81" i="15"/>
  <c r="P186" i="15"/>
  <c r="P159" i="15"/>
  <c r="P132" i="15"/>
  <c r="P105" i="15"/>
  <c r="P78" i="15"/>
  <c r="D33" i="15"/>
  <c r="F36" i="15"/>
  <c r="G33" i="15"/>
  <c r="I33" i="15"/>
  <c r="L36" i="15"/>
  <c r="N36" i="15"/>
  <c r="O33" i="15"/>
  <c r="E23" i="15"/>
  <c r="E29" i="15"/>
  <c r="E20" i="15"/>
  <c r="F26" i="15"/>
  <c r="F23" i="15"/>
  <c r="F29" i="15"/>
  <c r="F20" i="15"/>
  <c r="G23" i="15"/>
  <c r="G29" i="15"/>
  <c r="G20" i="15"/>
  <c r="H23" i="15"/>
  <c r="H29" i="15"/>
  <c r="H20" i="15"/>
  <c r="I23" i="15"/>
  <c r="I29" i="15"/>
  <c r="I20" i="15"/>
  <c r="J23" i="15"/>
  <c r="J29" i="15"/>
  <c r="J20" i="15"/>
  <c r="K23" i="15"/>
  <c r="K29" i="15"/>
  <c r="K20" i="15"/>
  <c r="L26" i="15"/>
  <c r="L23" i="15"/>
  <c r="L29" i="15"/>
  <c r="L20" i="15"/>
  <c r="M23" i="15"/>
  <c r="M29" i="15"/>
  <c r="M20" i="15"/>
  <c r="N26" i="15"/>
  <c r="N23" i="15"/>
  <c r="N29" i="15"/>
  <c r="N20" i="15"/>
  <c r="O23" i="15"/>
  <c r="O29" i="15"/>
  <c r="P19" i="15"/>
  <c r="P37" i="15"/>
  <c r="P34" i="15"/>
  <c r="P30" i="15"/>
  <c r="P27" i="15"/>
  <c r="P24" i="15"/>
  <c r="P21" i="15"/>
  <c r="E185" i="28"/>
  <c r="E159" i="28"/>
  <c r="E133" i="28"/>
  <c r="E107" i="28"/>
  <c r="E81" i="28"/>
  <c r="E55" i="28"/>
  <c r="E188" i="28"/>
  <c r="E162" i="28"/>
  <c r="E136" i="28"/>
  <c r="E110" i="28"/>
  <c r="E84" i="28"/>
  <c r="E58" i="28"/>
  <c r="E186" i="28"/>
  <c r="E160" i="28"/>
  <c r="E134" i="28"/>
  <c r="E108" i="28"/>
  <c r="E82" i="28"/>
  <c r="E56" i="28"/>
  <c r="F135" i="17"/>
  <c r="R16" i="14"/>
  <c r="P44" i="2"/>
  <c r="P39" i="2"/>
  <c r="P34" i="2"/>
  <c r="P29" i="2"/>
  <c r="P24" i="2"/>
  <c r="P19" i="2"/>
  <c r="P14" i="2"/>
  <c r="B90" i="16"/>
  <c r="E95" i="16"/>
  <c r="B77" i="16"/>
  <c r="E82" i="16"/>
  <c r="B64" i="16"/>
  <c r="B51" i="16"/>
  <c r="B38" i="16"/>
  <c r="B25" i="16"/>
  <c r="E69" i="16"/>
  <c r="E56" i="16"/>
  <c r="E43" i="16"/>
  <c r="E46" i="16" s="1"/>
  <c r="E16" i="8" s="1"/>
  <c r="E30" i="16"/>
  <c r="E18" i="16"/>
  <c r="E17" i="16"/>
  <c r="E20" i="16" s="1"/>
  <c r="C16" i="8" s="1"/>
  <c r="L46" i="2"/>
  <c r="I41" i="2"/>
  <c r="F36" i="2"/>
  <c r="N36" i="2"/>
  <c r="K31" i="2"/>
  <c r="K16" i="2"/>
  <c r="H31" i="2"/>
  <c r="K21" i="2"/>
  <c r="M41" i="2"/>
  <c r="O31" i="2"/>
  <c r="K46" i="2"/>
  <c r="H41" i="2"/>
  <c r="G36" i="2"/>
  <c r="O36" i="2"/>
  <c r="J31" i="2"/>
  <c r="M21" i="2"/>
  <c r="E21" i="2"/>
  <c r="J16" i="2"/>
  <c r="E26" i="2"/>
  <c r="J46" i="2"/>
  <c r="O41" i="2"/>
  <c r="G41" i="2"/>
  <c r="I31" i="2"/>
  <c r="N26" i="2"/>
  <c r="F26" i="2"/>
  <c r="L21" i="2"/>
  <c r="I36" i="2"/>
  <c r="E41" i="2"/>
  <c r="I46" i="2"/>
  <c r="M26" i="2"/>
  <c r="H16" i="2"/>
  <c r="J36" i="2"/>
  <c r="O46" i="2"/>
  <c r="G46" i="2"/>
  <c r="L41" i="2"/>
  <c r="F31" i="2"/>
  <c r="K26" i="2"/>
  <c r="N16" i="2"/>
  <c r="F16" i="2"/>
  <c r="M46" i="2"/>
  <c r="M36" i="2"/>
  <c r="I26" i="2"/>
  <c r="G21" i="2"/>
  <c r="G31" i="2"/>
  <c r="N46" i="2"/>
  <c r="F46" i="2"/>
  <c r="K41" i="2"/>
  <c r="E31" i="2"/>
  <c r="J26" i="2"/>
  <c r="H21" i="2"/>
  <c r="M16" i="2"/>
  <c r="E16" i="2"/>
  <c r="E46" i="2"/>
  <c r="E36" i="2"/>
  <c r="L31" i="2"/>
  <c r="O21" i="2"/>
  <c r="L16" i="2"/>
  <c r="G16" i="2"/>
  <c r="E98" i="16"/>
  <c r="I16" i="8" s="1"/>
  <c r="E59" i="16"/>
  <c r="F16" i="8" s="1"/>
  <c r="D31" i="2"/>
  <c r="D26" i="2"/>
  <c r="D41" i="2"/>
  <c r="D21" i="2"/>
  <c r="B168" i="28"/>
  <c r="B142" i="28"/>
  <c r="B116" i="28"/>
  <c r="B90" i="28"/>
  <c r="B64" i="28"/>
  <c r="B38" i="28"/>
  <c r="E183" i="28"/>
  <c r="E181" i="28"/>
  <c r="E176" i="28"/>
  <c r="E174" i="28"/>
  <c r="E157" i="28"/>
  <c r="E155" i="28"/>
  <c r="E150" i="28"/>
  <c r="E148" i="28"/>
  <c r="E131" i="28"/>
  <c r="E129" i="28"/>
  <c r="E124" i="28"/>
  <c r="E122" i="28"/>
  <c r="E105" i="28"/>
  <c r="E103" i="28"/>
  <c r="E98" i="28"/>
  <c r="E96" i="28"/>
  <c r="E79" i="28"/>
  <c r="E77" i="28"/>
  <c r="E72" i="28"/>
  <c r="E70" i="28"/>
  <c r="E53" i="28"/>
  <c r="E51" i="28"/>
  <c r="E46" i="28"/>
  <c r="E44" i="28"/>
  <c r="E165" i="25"/>
  <c r="E159" i="25"/>
  <c r="E142" i="25"/>
  <c r="E136" i="25"/>
  <c r="E119" i="25"/>
  <c r="E113" i="25"/>
  <c r="E96" i="25"/>
  <c r="E90" i="25"/>
  <c r="E73" i="25"/>
  <c r="E67" i="25"/>
  <c r="E50" i="25"/>
  <c r="E29" i="25"/>
  <c r="E28" i="25"/>
  <c r="E27" i="25"/>
  <c r="E26" i="25"/>
  <c r="E24" i="25"/>
  <c r="E23" i="25"/>
  <c r="E21" i="25"/>
  <c r="E157" i="25"/>
  <c r="E134" i="25"/>
  <c r="E111" i="25"/>
  <c r="E88" i="25"/>
  <c r="E65" i="25"/>
  <c r="E42" i="25"/>
  <c r="E19" i="25"/>
  <c r="E16" i="25"/>
  <c r="E15" i="25"/>
  <c r="I108" i="27"/>
  <c r="I93" i="27"/>
  <c r="I78" i="27"/>
  <c r="I63" i="27"/>
  <c r="I48" i="27"/>
  <c r="I33" i="27"/>
  <c r="G108" i="27"/>
  <c r="G93" i="27"/>
  <c r="G78" i="27"/>
  <c r="G63" i="27"/>
  <c r="J63" i="27" s="1"/>
  <c r="G48" i="27"/>
  <c r="J48" i="27" s="1"/>
  <c r="G33" i="27"/>
  <c r="E108" i="27"/>
  <c r="J108" i="27" s="1"/>
  <c r="E93" i="27"/>
  <c r="J93" i="27" s="1"/>
  <c r="E78" i="27"/>
  <c r="E63" i="27"/>
  <c r="E48" i="27"/>
  <c r="E33" i="27"/>
  <c r="G21" i="27"/>
  <c r="E22" i="27"/>
  <c r="J22" i="27" s="1"/>
  <c r="E21" i="27"/>
  <c r="I18" i="27"/>
  <c r="I17" i="27"/>
  <c r="I16" i="27"/>
  <c r="G18" i="27"/>
  <c r="J18" i="27" s="1"/>
  <c r="G17" i="27"/>
  <c r="G16" i="27"/>
  <c r="E19" i="27"/>
  <c r="E18" i="27"/>
  <c r="E17" i="27"/>
  <c r="E16" i="27"/>
  <c r="J16" i="27" s="1"/>
  <c r="E14" i="25"/>
  <c r="G12" i="19"/>
  <c r="J67" i="27"/>
  <c r="J82" i="27"/>
  <c r="J33" i="27"/>
  <c r="J51" i="27"/>
  <c r="J112" i="27"/>
  <c r="J81" i="27"/>
  <c r="J66" i="27"/>
  <c r="J62" i="27"/>
  <c r="J106" i="27"/>
  <c r="J91" i="27"/>
  <c r="J107" i="27"/>
  <c r="J78" i="27"/>
  <c r="J61" i="27"/>
  <c r="D17" i="14"/>
  <c r="P17" i="14" s="1"/>
  <c r="C22" i="19" s="1"/>
  <c r="E29" i="14"/>
  <c r="F29" i="14"/>
  <c r="G29" i="14"/>
  <c r="H29" i="14"/>
  <c r="I29" i="14"/>
  <c r="J29" i="14"/>
  <c r="K29" i="14"/>
  <c r="L29" i="14"/>
  <c r="M29" i="14"/>
  <c r="N29" i="14"/>
  <c r="O29" i="14"/>
  <c r="D29" i="14"/>
  <c r="E27" i="14"/>
  <c r="F27" i="14"/>
  <c r="G27" i="14"/>
  <c r="H27" i="14"/>
  <c r="I27" i="14"/>
  <c r="J27" i="14"/>
  <c r="K27" i="14"/>
  <c r="L27" i="14"/>
  <c r="M27" i="14"/>
  <c r="N27" i="14"/>
  <c r="O27" i="14"/>
  <c r="D27" i="14"/>
  <c r="P27" i="14" s="1"/>
  <c r="H22" i="19" s="1"/>
  <c r="E25" i="14"/>
  <c r="F25" i="14"/>
  <c r="G25" i="14"/>
  <c r="H25" i="14"/>
  <c r="I25" i="14"/>
  <c r="J25" i="14"/>
  <c r="K25" i="14"/>
  <c r="L25" i="14"/>
  <c r="M25" i="14"/>
  <c r="N25" i="14"/>
  <c r="O25" i="14"/>
  <c r="D25" i="14"/>
  <c r="E23" i="14"/>
  <c r="F23" i="14"/>
  <c r="G23" i="14"/>
  <c r="H23" i="14"/>
  <c r="I23" i="14"/>
  <c r="J23" i="14"/>
  <c r="K23" i="14"/>
  <c r="L23" i="14"/>
  <c r="M23" i="14"/>
  <c r="N23" i="14"/>
  <c r="O23" i="14"/>
  <c r="D23" i="14"/>
  <c r="P23" i="14" s="1"/>
  <c r="F22" i="19" s="1"/>
  <c r="E21" i="14"/>
  <c r="F21" i="14"/>
  <c r="G21" i="14"/>
  <c r="H21" i="14"/>
  <c r="I21" i="14"/>
  <c r="J21" i="14"/>
  <c r="K21" i="14"/>
  <c r="L21" i="14"/>
  <c r="M21" i="14"/>
  <c r="N21" i="14"/>
  <c r="O21" i="14"/>
  <c r="D21" i="14"/>
  <c r="E19" i="14"/>
  <c r="F19" i="14"/>
  <c r="G19" i="14"/>
  <c r="H19" i="14"/>
  <c r="I19" i="14"/>
  <c r="J19" i="14"/>
  <c r="K19" i="14"/>
  <c r="L19" i="14"/>
  <c r="M19" i="14"/>
  <c r="N19" i="14"/>
  <c r="O19" i="14"/>
  <c r="D19" i="14"/>
  <c r="P19" i="14" s="1"/>
  <c r="D22" i="19" s="1"/>
  <c r="E17" i="14"/>
  <c r="F17" i="14"/>
  <c r="G17" i="14"/>
  <c r="H17" i="14"/>
  <c r="I17" i="14"/>
  <c r="J17" i="14"/>
  <c r="K17" i="14"/>
  <c r="L17" i="14"/>
  <c r="M17" i="14"/>
  <c r="N17" i="14"/>
  <c r="O17" i="14"/>
  <c r="D16" i="5"/>
  <c r="D18" i="5" s="1"/>
  <c r="B129" i="30"/>
  <c r="B110" i="30"/>
  <c r="B91" i="30"/>
  <c r="B72" i="30"/>
  <c r="B53" i="30"/>
  <c r="B34" i="30"/>
  <c r="B15" i="30"/>
  <c r="P23" i="2"/>
  <c r="E14" i="8" s="1"/>
  <c r="P28" i="2"/>
  <c r="F14" i="8" s="1"/>
  <c r="P22" i="14"/>
  <c r="F15" i="8" s="1"/>
  <c r="P33" i="2"/>
  <c r="G14" i="8" s="1"/>
  <c r="P24" i="14"/>
  <c r="G15" i="8" s="1"/>
  <c r="P38" i="2"/>
  <c r="P26" i="14"/>
  <c r="H15" i="8" s="1"/>
  <c r="P43" i="2"/>
  <c r="I11" i="19" s="1"/>
  <c r="D22" i="5"/>
  <c r="D23" i="5" s="1"/>
  <c r="D39" i="19" s="1"/>
  <c r="D28" i="5"/>
  <c r="E38" i="19" s="1"/>
  <c r="D34" i="5"/>
  <c r="D36" i="5" s="1"/>
  <c r="D40" i="5"/>
  <c r="G38" i="19" s="1"/>
  <c r="N144" i="15"/>
  <c r="D46" i="5"/>
  <c r="D48" i="5" s="1"/>
  <c r="D52" i="5"/>
  <c r="I38" i="19" s="1"/>
  <c r="D8" i="8"/>
  <c r="E8" i="8"/>
  <c r="F8" i="8"/>
  <c r="G8" i="8"/>
  <c r="H8" i="8"/>
  <c r="I8" i="8"/>
  <c r="C8" i="8"/>
  <c r="E29" i="19"/>
  <c r="B12" i="28"/>
  <c r="B105" i="27"/>
  <c r="B90" i="27"/>
  <c r="B75" i="27"/>
  <c r="B60" i="27"/>
  <c r="B45" i="27"/>
  <c r="B30" i="27"/>
  <c r="B15" i="27"/>
  <c r="B151" i="25"/>
  <c r="B128" i="25"/>
  <c r="B105" i="25"/>
  <c r="B82" i="25"/>
  <c r="B59" i="25"/>
  <c r="B36" i="25"/>
  <c r="B13" i="25"/>
  <c r="I13" i="8"/>
  <c r="I30" i="8"/>
  <c r="I19" i="8"/>
  <c r="C13" i="8"/>
  <c r="C30" i="8"/>
  <c r="C19" i="8"/>
  <c r="D13" i="8"/>
  <c r="D30" i="8"/>
  <c r="D19" i="8"/>
  <c r="E13" i="8"/>
  <c r="E30" i="8"/>
  <c r="E19" i="8"/>
  <c r="G13" i="8"/>
  <c r="G30" i="8"/>
  <c r="G19" i="8"/>
  <c r="H13" i="8"/>
  <c r="H30" i="8"/>
  <c r="H19" i="8"/>
  <c r="F13" i="8"/>
  <c r="F30" i="8"/>
  <c r="F19" i="8"/>
  <c r="P197" i="15"/>
  <c r="P194" i="15"/>
  <c r="P190" i="15"/>
  <c r="P187" i="15"/>
  <c r="P184" i="15"/>
  <c r="P181" i="15"/>
  <c r="P170" i="15"/>
  <c r="P167" i="15"/>
  <c r="P163" i="15"/>
  <c r="P160" i="15"/>
  <c r="P157" i="15"/>
  <c r="P154" i="15"/>
  <c r="P143" i="15"/>
  <c r="P140" i="15"/>
  <c r="P136" i="15"/>
  <c r="P133" i="15"/>
  <c r="P130" i="15"/>
  <c r="P127" i="15"/>
  <c r="P116" i="15"/>
  <c r="P113" i="15"/>
  <c r="P109" i="15"/>
  <c r="P106" i="15"/>
  <c r="P103" i="15"/>
  <c r="P100" i="15"/>
  <c r="P82" i="15"/>
  <c r="P79" i="15"/>
  <c r="P76" i="15"/>
  <c r="P73" i="15"/>
  <c r="P89" i="15"/>
  <c r="P86" i="15"/>
  <c r="P62" i="15"/>
  <c r="P59" i="15"/>
  <c r="D378" i="17"/>
  <c r="B46" i="15"/>
  <c r="B19" i="15"/>
  <c r="P49" i="15"/>
  <c r="P32" i="15"/>
  <c r="P35" i="15"/>
  <c r="P22" i="15"/>
  <c r="D46" i="19"/>
  <c r="E46" i="19"/>
  <c r="F46" i="19"/>
  <c r="G46" i="19"/>
  <c r="H46" i="19"/>
  <c r="I46" i="19"/>
  <c r="C46" i="19"/>
  <c r="D36" i="19"/>
  <c r="E36" i="19"/>
  <c r="F36" i="19"/>
  <c r="G36" i="19"/>
  <c r="H36" i="19"/>
  <c r="I36" i="19"/>
  <c r="C36" i="19"/>
  <c r="D28" i="19"/>
  <c r="E28" i="19"/>
  <c r="F28" i="19"/>
  <c r="G28" i="19"/>
  <c r="H28" i="19"/>
  <c r="I28" i="19"/>
  <c r="C28" i="19"/>
  <c r="D20" i="19"/>
  <c r="E20" i="19"/>
  <c r="F20" i="19"/>
  <c r="G20" i="19"/>
  <c r="H20" i="19"/>
  <c r="I20" i="19"/>
  <c r="C20" i="19"/>
  <c r="D10" i="19"/>
  <c r="E10" i="19"/>
  <c r="F10" i="19"/>
  <c r="G10" i="19"/>
  <c r="H10" i="19"/>
  <c r="I10" i="19"/>
  <c r="C10" i="19"/>
  <c r="B181" i="15"/>
  <c r="B154" i="15"/>
  <c r="B127" i="15"/>
  <c r="B100" i="15"/>
  <c r="B73" i="15"/>
  <c r="B51" i="5"/>
  <c r="B45" i="5"/>
  <c r="B39" i="5"/>
  <c r="B33" i="5"/>
  <c r="B27" i="5"/>
  <c r="B21" i="5"/>
  <c r="B15" i="5"/>
  <c r="B25" i="3"/>
  <c r="B23" i="3"/>
  <c r="B21" i="3"/>
  <c r="B19" i="3"/>
  <c r="B17" i="3"/>
  <c r="B15" i="3"/>
  <c r="B13" i="3"/>
  <c r="B28" i="14"/>
  <c r="B26" i="14"/>
  <c r="B24" i="14"/>
  <c r="B22" i="14"/>
  <c r="B20" i="14"/>
  <c r="B18" i="14"/>
  <c r="B16" i="14"/>
  <c r="B43" i="2"/>
  <c r="B38" i="2"/>
  <c r="B33" i="2"/>
  <c r="B28" i="2"/>
  <c r="B23" i="2"/>
  <c r="B18" i="2"/>
  <c r="B13" i="2"/>
  <c r="I37" i="19"/>
  <c r="H37" i="19"/>
  <c r="G37" i="19"/>
  <c r="F37" i="19"/>
  <c r="E37" i="19"/>
  <c r="D37" i="19"/>
  <c r="C37" i="19"/>
  <c r="B12" i="16"/>
  <c r="P55" i="15"/>
  <c r="D29" i="5"/>
  <c r="E39" i="19" s="1"/>
  <c r="D35" i="5"/>
  <c r="F39" i="19" s="1"/>
  <c r="C40" i="19"/>
  <c r="E1048567" i="17"/>
  <c r="P46" i="15"/>
  <c r="P52" i="15"/>
  <c r="P25" i="15"/>
  <c r="P28" i="15"/>
  <c r="D30" i="5"/>
  <c r="G29" i="19"/>
  <c r="K171" i="15"/>
  <c r="O117" i="15"/>
  <c r="F198" i="15"/>
  <c r="L114" i="15"/>
  <c r="L119" i="15" s="1"/>
  <c r="I195" i="15"/>
  <c r="J90" i="15"/>
  <c r="N168" i="15"/>
  <c r="L144" i="15"/>
  <c r="M87" i="15"/>
  <c r="K198" i="15"/>
  <c r="K144" i="15"/>
  <c r="G141" i="15"/>
  <c r="J198" i="15"/>
  <c r="F195" i="15"/>
  <c r="F200" i="15" s="1"/>
  <c r="L117" i="15"/>
  <c r="O90" i="15"/>
  <c r="N171" i="15"/>
  <c r="K168" i="15"/>
  <c r="G114" i="15"/>
  <c r="F90" i="15"/>
  <c r="F171" i="15"/>
  <c r="H144" i="15"/>
  <c r="E90" i="15"/>
  <c r="N198" i="15"/>
  <c r="O144" i="15"/>
  <c r="K141" i="15"/>
  <c r="H11" i="19"/>
  <c r="G11" i="19"/>
  <c r="F11" i="19"/>
  <c r="E11" i="19"/>
  <c r="D11" i="19"/>
  <c r="H29" i="19"/>
  <c r="D29" i="19"/>
  <c r="F29" i="19"/>
  <c r="H21" i="19"/>
  <c r="F21" i="19"/>
  <c r="E21" i="19"/>
  <c r="P29" i="14"/>
  <c r="I22" i="19"/>
  <c r="P21" i="14"/>
  <c r="E22" i="19"/>
  <c r="P25" i="14"/>
  <c r="G22" i="19" s="1"/>
  <c r="P155" i="15"/>
  <c r="P101" i="15"/>
  <c r="P182" i="15"/>
  <c r="C29" i="19"/>
  <c r="P18" i="3" l="1"/>
  <c r="E30" i="19" s="1"/>
  <c r="G21" i="19"/>
  <c r="F46" i="30"/>
  <c r="D10" i="8" s="1"/>
  <c r="N31" i="15"/>
  <c r="P23" i="15"/>
  <c r="C48" i="19" s="1"/>
  <c r="L31" i="15"/>
  <c r="F31" i="15"/>
  <c r="I29" i="19"/>
  <c r="G24" i="8"/>
  <c r="F24" i="8"/>
  <c r="I21" i="19"/>
  <c r="I14" i="8"/>
  <c r="I17" i="8" s="1"/>
  <c r="I32" i="8" s="1"/>
  <c r="H17" i="8"/>
  <c r="H32" i="8" s="1"/>
  <c r="G17" i="8"/>
  <c r="G32" i="8" s="1"/>
  <c r="P31" i="2"/>
  <c r="F13" i="19" s="1"/>
  <c r="F17" i="8"/>
  <c r="F32" i="8" s="1"/>
  <c r="J52" i="27"/>
  <c r="J36" i="27"/>
  <c r="J21" i="27"/>
  <c r="J46" i="27"/>
  <c r="E168" i="25"/>
  <c r="I21" i="8" s="1"/>
  <c r="E137" i="28"/>
  <c r="G22" i="8" s="1"/>
  <c r="E189" i="28"/>
  <c r="I22" i="8" s="1"/>
  <c r="E85" i="28"/>
  <c r="E22" i="8" s="1"/>
  <c r="J32" i="27"/>
  <c r="J17" i="27"/>
  <c r="J47" i="27"/>
  <c r="E19" i="16"/>
  <c r="C9" i="8" s="1"/>
  <c r="E45" i="16"/>
  <c r="E9" i="8" s="1"/>
  <c r="E11" i="8" s="1"/>
  <c r="E31" i="8" s="1"/>
  <c r="E76" i="25"/>
  <c r="E21" i="8" s="1"/>
  <c r="G19" i="27"/>
  <c r="J19" i="27" s="1"/>
  <c r="D317" i="17"/>
  <c r="I34" i="27" s="1"/>
  <c r="J34" i="27" s="1"/>
  <c r="E33" i="28"/>
  <c r="C22" i="8" s="1"/>
  <c r="E20" i="25"/>
  <c r="E30" i="25" s="1"/>
  <c r="C21" i="8" s="1"/>
  <c r="F84" i="30"/>
  <c r="F10" i="8" s="1"/>
  <c r="F11" i="8" s="1"/>
  <c r="F31" i="8" s="1"/>
  <c r="P26" i="2"/>
  <c r="E111" i="28"/>
  <c r="F22" i="8" s="1"/>
  <c r="E20" i="8"/>
  <c r="E12" i="19"/>
  <c r="F141" i="30"/>
  <c r="I10" i="8" s="1"/>
  <c r="I11" i="8" s="1"/>
  <c r="I31" i="8" s="1"/>
  <c r="P36" i="2"/>
  <c r="P46" i="2"/>
  <c r="H11" i="8"/>
  <c r="H31" i="8" s="1"/>
  <c r="F65" i="30"/>
  <c r="E10" i="8" s="1"/>
  <c r="E163" i="28"/>
  <c r="H22" i="8" s="1"/>
  <c r="J83" i="27"/>
  <c r="G23" i="8" s="1"/>
  <c r="D20" i="8"/>
  <c r="D12" i="19"/>
  <c r="F27" i="30"/>
  <c r="C10" i="8" s="1"/>
  <c r="J113" i="27"/>
  <c r="I23" i="8" s="1"/>
  <c r="H20" i="8"/>
  <c r="H12" i="19"/>
  <c r="F12" i="19"/>
  <c r="F20" i="8"/>
  <c r="F103" i="30"/>
  <c r="G10" i="8" s="1"/>
  <c r="G11" i="8" s="1"/>
  <c r="G31" i="8" s="1"/>
  <c r="J68" i="27"/>
  <c r="F23" i="8" s="1"/>
  <c r="F21" i="2"/>
  <c r="P21" i="2" s="1"/>
  <c r="E89" i="25"/>
  <c r="E99" i="25" s="1"/>
  <c r="F21" i="8" s="1"/>
  <c r="G109" i="27"/>
  <c r="J109" i="27" s="1"/>
  <c r="E112" i="25"/>
  <c r="E122" i="25" s="1"/>
  <c r="G21" i="8" s="1"/>
  <c r="J97" i="27"/>
  <c r="J98" i="27" s="1"/>
  <c r="H23" i="8" s="1"/>
  <c r="J31" i="27"/>
  <c r="P45" i="2"/>
  <c r="G49" i="27"/>
  <c r="J49" i="27" s="1"/>
  <c r="F41" i="2"/>
  <c r="P41" i="2" s="1"/>
  <c r="F38" i="19"/>
  <c r="E40" i="19"/>
  <c r="D53" i="5"/>
  <c r="I39" i="19" s="1"/>
  <c r="D54" i="5"/>
  <c r="H40" i="19"/>
  <c r="D41" i="5"/>
  <c r="G39" i="19" s="1"/>
  <c r="D42" i="5"/>
  <c r="D47" i="5"/>
  <c r="H39" i="19" s="1"/>
  <c r="H38" i="19"/>
  <c r="D38" i="19"/>
  <c r="D24" i="5"/>
  <c r="C38" i="19"/>
  <c r="D17" i="5"/>
  <c r="C39" i="19" s="1"/>
  <c r="E32" i="16"/>
  <c r="D9" i="8" s="1"/>
  <c r="D11" i="8" s="1"/>
  <c r="D31" i="8" s="1"/>
  <c r="C14" i="8"/>
  <c r="E59" i="28"/>
  <c r="D22" i="8" s="1"/>
  <c r="E43" i="25"/>
  <c r="E53" i="25" s="1"/>
  <c r="D21" i="8" s="1"/>
  <c r="D15" i="8"/>
  <c r="D17" i="8" s="1"/>
  <c r="D32" i="8" s="1"/>
  <c r="D21" i="19"/>
  <c r="C24" i="8"/>
  <c r="O38" i="15"/>
  <c r="L120" i="15"/>
  <c r="L122" i="15" s="1"/>
  <c r="K173" i="15"/>
  <c r="N107" i="15"/>
  <c r="N112" i="15" s="1"/>
  <c r="L65" i="15"/>
  <c r="P110" i="15"/>
  <c r="N173" i="15"/>
  <c r="P29" i="15"/>
  <c r="C50" i="19" s="1"/>
  <c r="D198" i="15"/>
  <c r="D63" i="15"/>
  <c r="E60" i="15"/>
  <c r="M60" i="15"/>
  <c r="J63" i="15"/>
  <c r="J65" i="15" s="1"/>
  <c r="G36" i="15"/>
  <c r="G38" i="15" s="1"/>
  <c r="J33" i="15"/>
  <c r="O36" i="15"/>
  <c r="N87" i="15"/>
  <c r="K114" i="15"/>
  <c r="H141" i="15"/>
  <c r="H146" i="15" s="1"/>
  <c r="O195" i="15"/>
  <c r="M117" i="15"/>
  <c r="O171" i="15"/>
  <c r="G90" i="15"/>
  <c r="I144" i="15"/>
  <c r="J87" i="15"/>
  <c r="J92" i="15" s="1"/>
  <c r="L141" i="15"/>
  <c r="L146" i="15" s="1"/>
  <c r="G198" i="15"/>
  <c r="I117" i="15"/>
  <c r="D141" i="15"/>
  <c r="D60" i="15"/>
  <c r="F60" i="15"/>
  <c r="N60" i="15"/>
  <c r="K63" i="15"/>
  <c r="E33" i="15"/>
  <c r="J36" i="15"/>
  <c r="M33" i="15"/>
  <c r="F87" i="15"/>
  <c r="F92" i="15" s="1"/>
  <c r="J171" i="15"/>
  <c r="J195" i="15"/>
  <c r="J200" i="15" s="1"/>
  <c r="N117" i="15"/>
  <c r="G195" i="15"/>
  <c r="E117" i="15"/>
  <c r="L168" i="15"/>
  <c r="L173" i="15" s="1"/>
  <c r="K87" i="15"/>
  <c r="K92" i="15" s="1"/>
  <c r="M141" i="15"/>
  <c r="O198" i="15"/>
  <c r="J117" i="15"/>
  <c r="K195" i="15"/>
  <c r="K200" i="15" s="1"/>
  <c r="M114" i="15"/>
  <c r="M119" i="15" s="1"/>
  <c r="D90" i="15"/>
  <c r="G60" i="15"/>
  <c r="G65" i="15" s="1"/>
  <c r="O60" i="15"/>
  <c r="O65" i="15" s="1"/>
  <c r="L63" i="15"/>
  <c r="E36" i="15"/>
  <c r="H33" i="15"/>
  <c r="M36" i="15"/>
  <c r="O87" i="15"/>
  <c r="O92" i="15" s="1"/>
  <c r="H168" i="15"/>
  <c r="E144" i="15"/>
  <c r="P144" i="15" s="1"/>
  <c r="I141" i="15"/>
  <c r="I146" i="15" s="1"/>
  <c r="G168" i="15"/>
  <c r="L198" i="15"/>
  <c r="F117" i="15"/>
  <c r="H171" i="15"/>
  <c r="I114" i="15"/>
  <c r="J144" i="15"/>
  <c r="I198" i="15"/>
  <c r="E141" i="15"/>
  <c r="E146" i="15" s="1"/>
  <c r="H198" i="15"/>
  <c r="N114" i="15"/>
  <c r="N119" i="15" s="1"/>
  <c r="L171" i="15"/>
  <c r="E114" i="15"/>
  <c r="E119" i="15" s="1"/>
  <c r="D171" i="15"/>
  <c r="D117" i="15"/>
  <c r="D87" i="15"/>
  <c r="H60" i="15"/>
  <c r="H65" i="15" s="1"/>
  <c r="E63" i="15"/>
  <c r="M63" i="15"/>
  <c r="H36" i="15"/>
  <c r="K33" i="15"/>
  <c r="G117" i="15"/>
  <c r="G119" i="15" s="1"/>
  <c r="H117" i="15"/>
  <c r="M144" i="15"/>
  <c r="H195" i="15"/>
  <c r="H200" i="15" s="1"/>
  <c r="J114" i="15"/>
  <c r="J119" i="15" s="1"/>
  <c r="J120" i="15" s="1"/>
  <c r="J122" i="15" s="1"/>
  <c r="M168" i="15"/>
  <c r="M173" i="15" s="1"/>
  <c r="H90" i="15"/>
  <c r="N141" i="15"/>
  <c r="N146" i="15" s="1"/>
  <c r="M195" i="15"/>
  <c r="K117" i="15"/>
  <c r="L195" i="15"/>
  <c r="F114" i="15"/>
  <c r="F119" i="15" s="1"/>
  <c r="E171" i="15"/>
  <c r="L90" i="15"/>
  <c r="I60" i="15"/>
  <c r="I65" i="15" s="1"/>
  <c r="F63" i="15"/>
  <c r="N63" i="15"/>
  <c r="F33" i="15"/>
  <c r="F38" i="15" s="1"/>
  <c r="F39" i="15" s="1"/>
  <c r="F41" i="15" s="1"/>
  <c r="K36" i="15"/>
  <c r="N33" i="15"/>
  <c r="N38" i="15" s="1"/>
  <c r="M198" i="15"/>
  <c r="G87" i="15"/>
  <c r="G92" i="15" s="1"/>
  <c r="K90" i="15"/>
  <c r="I171" i="15"/>
  <c r="I90" i="15"/>
  <c r="E168" i="15"/>
  <c r="L87" i="15"/>
  <c r="F141" i="15"/>
  <c r="E195" i="15"/>
  <c r="O114" i="15"/>
  <c r="O119" i="15" s="1"/>
  <c r="M171" i="15"/>
  <c r="M90" i="15"/>
  <c r="M92" i="15" s="1"/>
  <c r="I168" i="15"/>
  <c r="I173" i="15" s="1"/>
  <c r="I174" i="15" s="1"/>
  <c r="I176" i="15" s="1"/>
  <c r="H87" i="15"/>
  <c r="H92" i="15" s="1"/>
  <c r="D195" i="15"/>
  <c r="K60" i="15"/>
  <c r="K65" i="15" s="1"/>
  <c r="H63" i="15"/>
  <c r="D36" i="15"/>
  <c r="I36" i="15"/>
  <c r="I38" i="15" s="1"/>
  <c r="L33" i="15"/>
  <c r="L38" i="15" s="1"/>
  <c r="E198" i="15"/>
  <c r="J141" i="15"/>
  <c r="J146" i="15" s="1"/>
  <c r="O168" i="15"/>
  <c r="F144" i="15"/>
  <c r="F168" i="15"/>
  <c r="F173" i="15" s="1"/>
  <c r="E87" i="15"/>
  <c r="E92" i="15" s="1"/>
  <c r="O141" i="15"/>
  <c r="O146" i="15" s="1"/>
  <c r="N195" i="15"/>
  <c r="N200" i="15" s="1"/>
  <c r="H114" i="15"/>
  <c r="H119" i="15" s="1"/>
  <c r="G171" i="15"/>
  <c r="N90" i="15"/>
  <c r="J168" i="15"/>
  <c r="I87" i="15"/>
  <c r="I92" i="15" s="1"/>
  <c r="G144" i="15"/>
  <c r="G146" i="15" s="1"/>
  <c r="F107" i="15"/>
  <c r="F112" i="15" s="1"/>
  <c r="K161" i="15"/>
  <c r="K166" i="15" s="1"/>
  <c r="P185" i="15"/>
  <c r="P20" i="15"/>
  <c r="C47" i="19" s="1"/>
  <c r="H112" i="15"/>
  <c r="M174" i="15"/>
  <c r="M176" i="15" s="1"/>
  <c r="F53" i="15"/>
  <c r="H53" i="15"/>
  <c r="J53" i="15"/>
  <c r="J58" i="15" s="1"/>
  <c r="L53" i="15"/>
  <c r="L58" i="15" s="1"/>
  <c r="N53" i="15"/>
  <c r="N58" i="15" s="1"/>
  <c r="F134" i="15"/>
  <c r="F139" i="15" s="1"/>
  <c r="H134" i="15"/>
  <c r="H139" i="15" s="1"/>
  <c r="J134" i="15"/>
  <c r="J139" i="15" s="1"/>
  <c r="L134" i="15"/>
  <c r="L139" i="15" s="1"/>
  <c r="N134" i="15"/>
  <c r="N139" i="15" s="1"/>
  <c r="K26" i="15"/>
  <c r="K31" i="15" s="1"/>
  <c r="D161" i="15"/>
  <c r="D107" i="15"/>
  <c r="D53" i="15"/>
  <c r="E107" i="15"/>
  <c r="E112" i="15" s="1"/>
  <c r="G107" i="15"/>
  <c r="G112" i="15" s="1"/>
  <c r="I107" i="15"/>
  <c r="I112" i="15" s="1"/>
  <c r="K107" i="15"/>
  <c r="K112" i="15" s="1"/>
  <c r="M107" i="15"/>
  <c r="M112" i="15" s="1"/>
  <c r="O107" i="15"/>
  <c r="O112" i="15" s="1"/>
  <c r="H26" i="15"/>
  <c r="H31" i="15" s="1"/>
  <c r="D188" i="15"/>
  <c r="E188" i="15"/>
  <c r="E193" i="15" s="1"/>
  <c r="G188" i="15"/>
  <c r="G193" i="15" s="1"/>
  <c r="I188" i="15"/>
  <c r="I193" i="15" s="1"/>
  <c r="K188" i="15"/>
  <c r="K193" i="15" s="1"/>
  <c r="M188" i="15"/>
  <c r="M193" i="15" s="1"/>
  <c r="O188" i="15"/>
  <c r="O193" i="15" s="1"/>
  <c r="F80" i="15"/>
  <c r="F85" i="15" s="1"/>
  <c r="H80" i="15"/>
  <c r="H85" i="15" s="1"/>
  <c r="J80" i="15"/>
  <c r="J85" i="15" s="1"/>
  <c r="L80" i="15"/>
  <c r="L85" i="15" s="1"/>
  <c r="N80" i="15"/>
  <c r="N85" i="15" s="1"/>
  <c r="D26" i="15"/>
  <c r="E26" i="15"/>
  <c r="E31" i="15" s="1"/>
  <c r="M26" i="15"/>
  <c r="M31" i="15" s="1"/>
  <c r="F161" i="15"/>
  <c r="F166" i="15" s="1"/>
  <c r="H161" i="15"/>
  <c r="H166" i="15" s="1"/>
  <c r="J161" i="15"/>
  <c r="J166" i="15" s="1"/>
  <c r="L161" i="15"/>
  <c r="L166" i="15" s="1"/>
  <c r="N161" i="15"/>
  <c r="N166" i="15" s="1"/>
  <c r="J26" i="15"/>
  <c r="J31" i="15" s="1"/>
  <c r="E53" i="15"/>
  <c r="G53" i="15"/>
  <c r="I53" i="15"/>
  <c r="I58" i="15" s="1"/>
  <c r="K53" i="15"/>
  <c r="K58" i="15" s="1"/>
  <c r="M53" i="15"/>
  <c r="M58" i="15" s="1"/>
  <c r="O53" i="15"/>
  <c r="O58" i="15" s="1"/>
  <c r="E134" i="15"/>
  <c r="E139" i="15" s="1"/>
  <c r="G134" i="15"/>
  <c r="G139" i="15" s="1"/>
  <c r="I134" i="15"/>
  <c r="I139" i="15" s="1"/>
  <c r="K134" i="15"/>
  <c r="K139" i="15" s="1"/>
  <c r="M134" i="15"/>
  <c r="M139" i="15" s="1"/>
  <c r="O134" i="15"/>
  <c r="O139" i="15" s="1"/>
  <c r="G26" i="15"/>
  <c r="G31" i="15" s="1"/>
  <c r="O26" i="15"/>
  <c r="O31" i="15" s="1"/>
  <c r="F188" i="15"/>
  <c r="F193" i="15" s="1"/>
  <c r="H188" i="15"/>
  <c r="H193" i="15" s="1"/>
  <c r="J188" i="15"/>
  <c r="J193" i="15" s="1"/>
  <c r="L188" i="15"/>
  <c r="L193" i="15" s="1"/>
  <c r="N188" i="15"/>
  <c r="N193" i="15" s="1"/>
  <c r="E80" i="15"/>
  <c r="E85" i="15" s="1"/>
  <c r="G80" i="15"/>
  <c r="G85" i="15" s="1"/>
  <c r="I80" i="15"/>
  <c r="I85" i="15" s="1"/>
  <c r="K80" i="15"/>
  <c r="K85" i="15" s="1"/>
  <c r="M80" i="15"/>
  <c r="M85" i="15" s="1"/>
  <c r="O80" i="15"/>
  <c r="O85" i="15" s="1"/>
  <c r="I26" i="15"/>
  <c r="I31" i="15" s="1"/>
  <c r="P131" i="15"/>
  <c r="P56" i="15"/>
  <c r="I200" i="15"/>
  <c r="D139" i="15"/>
  <c r="G56" i="15"/>
  <c r="E56" i="15"/>
  <c r="D191" i="15"/>
  <c r="P191" i="15" s="1"/>
  <c r="H47" i="15"/>
  <c r="F47" i="15"/>
  <c r="P47" i="15" s="1"/>
  <c r="D50" i="15"/>
  <c r="P50" i="15" s="1"/>
  <c r="D104" i="15"/>
  <c r="P104" i="15" s="1"/>
  <c r="D158" i="15"/>
  <c r="P158" i="15" s="1"/>
  <c r="D77" i="15"/>
  <c r="P77" i="15" s="1"/>
  <c r="D24" i="8"/>
  <c r="H24" i="8"/>
  <c r="I24" i="8"/>
  <c r="C20" i="8"/>
  <c r="C12" i="19"/>
  <c r="O16" i="2"/>
  <c r="P16" i="2" s="1"/>
  <c r="P17" i="2" s="1"/>
  <c r="C14" i="19" s="1"/>
  <c r="C15" i="8"/>
  <c r="E17" i="8"/>
  <c r="E32" i="8" s="1"/>
  <c r="C11" i="8" l="1"/>
  <c r="C31" i="8" s="1"/>
  <c r="M38" i="15"/>
  <c r="M39" i="15" s="1"/>
  <c r="M41" i="15" s="1"/>
  <c r="N39" i="15"/>
  <c r="N41" i="15" s="1"/>
  <c r="L39" i="15"/>
  <c r="L41" i="15" s="1"/>
  <c r="P32" i="2"/>
  <c r="F14" i="19" s="1"/>
  <c r="J53" i="27"/>
  <c r="E23" i="8" s="1"/>
  <c r="J23" i="27"/>
  <c r="C23" i="8" s="1"/>
  <c r="J38" i="27"/>
  <c r="D23" i="8" s="1"/>
  <c r="P42" i="2"/>
  <c r="H14" i="19" s="1"/>
  <c r="H13" i="19"/>
  <c r="D13" i="19"/>
  <c r="P22" i="2"/>
  <c r="D14" i="19" s="1"/>
  <c r="I13" i="19"/>
  <c r="P47" i="2"/>
  <c r="I14" i="19" s="1"/>
  <c r="E13" i="19"/>
  <c r="P27" i="2"/>
  <c r="E14" i="19" s="1"/>
  <c r="I12" i="19"/>
  <c r="I20" i="8"/>
  <c r="P37" i="2"/>
  <c r="G14" i="19" s="1"/>
  <c r="G13" i="19"/>
  <c r="I40" i="19"/>
  <c r="G40" i="19"/>
  <c r="F40" i="19"/>
  <c r="D40" i="19"/>
  <c r="C17" i="8"/>
  <c r="C32" i="8" s="1"/>
  <c r="L93" i="15"/>
  <c r="L95" i="15" s="1"/>
  <c r="D65" i="15"/>
  <c r="P60" i="15"/>
  <c r="P114" i="15"/>
  <c r="G93" i="15"/>
  <c r="G95" i="15" s="1"/>
  <c r="G39" i="15"/>
  <c r="G41" i="15" s="1"/>
  <c r="J93" i="15"/>
  <c r="J95" i="15" s="1"/>
  <c r="E120" i="15"/>
  <c r="E122" i="15"/>
  <c r="H147" i="15"/>
  <c r="H149" i="15" s="1"/>
  <c r="H120" i="15"/>
  <c r="H122" i="15" s="1"/>
  <c r="E200" i="15"/>
  <c r="E201" i="15" s="1"/>
  <c r="E203" i="15" s="1"/>
  <c r="G173" i="15"/>
  <c r="G174" i="15" s="1"/>
  <c r="G176" i="15" s="1"/>
  <c r="M146" i="15"/>
  <c r="M147" i="15" s="1"/>
  <c r="M149" i="15" s="1"/>
  <c r="P141" i="15"/>
  <c r="D146" i="15"/>
  <c r="P36" i="15"/>
  <c r="D38" i="15"/>
  <c r="H174" i="15"/>
  <c r="H176" i="15" s="1"/>
  <c r="D193" i="15"/>
  <c r="P188" i="15"/>
  <c r="J173" i="15"/>
  <c r="J174" i="15" s="1"/>
  <c r="J176" i="15" s="1"/>
  <c r="F146" i="15"/>
  <c r="M65" i="15"/>
  <c r="M66" i="15" s="1"/>
  <c r="M68" i="15" s="1"/>
  <c r="P134" i="15"/>
  <c r="N201" i="15"/>
  <c r="N203" i="15" s="1"/>
  <c r="I66" i="15"/>
  <c r="I68" i="15" s="1"/>
  <c r="F174" i="15"/>
  <c r="F176" i="15" s="1"/>
  <c r="F93" i="15"/>
  <c r="F95" i="15"/>
  <c r="P107" i="15"/>
  <c r="D112" i="15"/>
  <c r="N66" i="15"/>
  <c r="N68" i="15" s="1"/>
  <c r="O173" i="15"/>
  <c r="O174" i="15" s="1"/>
  <c r="O176" i="15" s="1"/>
  <c r="D200" i="15"/>
  <c r="P195" i="15"/>
  <c r="L92" i="15"/>
  <c r="L200" i="15"/>
  <c r="D92" i="15"/>
  <c r="P87" i="15"/>
  <c r="E65" i="15"/>
  <c r="N120" i="15"/>
  <c r="N122" i="15"/>
  <c r="I93" i="15"/>
  <c r="I95" i="15" s="1"/>
  <c r="J147" i="15"/>
  <c r="J149" i="15" s="1"/>
  <c r="O147" i="15"/>
  <c r="O149" i="15"/>
  <c r="F147" i="15"/>
  <c r="F149" i="15" s="1"/>
  <c r="P139" i="15"/>
  <c r="D147" i="15"/>
  <c r="I39" i="15"/>
  <c r="I41" i="15" s="1"/>
  <c r="L201" i="15"/>
  <c r="L203" i="15" s="1"/>
  <c r="K147" i="15"/>
  <c r="K149" i="15"/>
  <c r="G58" i="15"/>
  <c r="O201" i="15"/>
  <c r="O203" i="15" s="1"/>
  <c r="O120" i="15"/>
  <c r="O122" i="15" s="1"/>
  <c r="P161" i="15"/>
  <c r="D166" i="15"/>
  <c r="L68" i="15"/>
  <c r="L66" i="15"/>
  <c r="E173" i="15"/>
  <c r="E174" i="15" s="1"/>
  <c r="E176" i="15" s="1"/>
  <c r="P117" i="15"/>
  <c r="H173" i="15"/>
  <c r="P90" i="15"/>
  <c r="E38" i="15"/>
  <c r="E39" i="15" s="1"/>
  <c r="E41" i="15" s="1"/>
  <c r="K119" i="15"/>
  <c r="P63" i="15"/>
  <c r="P33" i="15"/>
  <c r="O66" i="15"/>
  <c r="O68" i="15" s="1"/>
  <c r="E93" i="15"/>
  <c r="E95" i="15"/>
  <c r="H93" i="15"/>
  <c r="H95" i="15" s="1"/>
  <c r="O93" i="15"/>
  <c r="O95" i="15" s="1"/>
  <c r="J201" i="15"/>
  <c r="J203" i="15"/>
  <c r="I147" i="15"/>
  <c r="I149" i="15" s="1"/>
  <c r="E58" i="15"/>
  <c r="M120" i="15"/>
  <c r="M122" i="15" s="1"/>
  <c r="J66" i="15"/>
  <c r="J68" i="15" s="1"/>
  <c r="M200" i="15"/>
  <c r="M201" i="15" s="1"/>
  <c r="M203" i="15" s="1"/>
  <c r="P171" i="15"/>
  <c r="I119" i="15"/>
  <c r="G200" i="15"/>
  <c r="G201" i="15" s="1"/>
  <c r="G203" i="15" s="1"/>
  <c r="N92" i="15"/>
  <c r="N93" i="15" s="1"/>
  <c r="N95" i="15" s="1"/>
  <c r="P198" i="15"/>
  <c r="L174" i="15"/>
  <c r="L176" i="15"/>
  <c r="K68" i="15"/>
  <c r="K66" i="15"/>
  <c r="P53" i="15"/>
  <c r="D58" i="15"/>
  <c r="H201" i="15"/>
  <c r="H203" i="15"/>
  <c r="G147" i="15"/>
  <c r="G149" i="15"/>
  <c r="D31" i="15"/>
  <c r="P26" i="15"/>
  <c r="C49" i="19" s="1"/>
  <c r="K201" i="15"/>
  <c r="K203" i="15"/>
  <c r="K120" i="15"/>
  <c r="K122" i="15"/>
  <c r="N147" i="15"/>
  <c r="N149" i="15" s="1"/>
  <c r="H58" i="15"/>
  <c r="K176" i="15"/>
  <c r="K174" i="15"/>
  <c r="K38" i="15"/>
  <c r="K39" i="15" s="1"/>
  <c r="K41" i="15" s="1"/>
  <c r="N65" i="15"/>
  <c r="D173" i="15"/>
  <c r="P173" i="15" s="1"/>
  <c r="H52" i="19" s="1"/>
  <c r="D85" i="15"/>
  <c r="O39" i="15"/>
  <c r="O41" i="15" s="1"/>
  <c r="G120" i="15"/>
  <c r="G122" i="15" s="1"/>
  <c r="O200" i="15"/>
  <c r="M93" i="15"/>
  <c r="M95" i="15"/>
  <c r="K93" i="15"/>
  <c r="K95" i="15"/>
  <c r="F201" i="15"/>
  <c r="F203" i="15" s="1"/>
  <c r="E147" i="15"/>
  <c r="E149" i="15" s="1"/>
  <c r="N174" i="15"/>
  <c r="N176" i="15" s="1"/>
  <c r="I201" i="15"/>
  <c r="I203" i="15" s="1"/>
  <c r="I120" i="15"/>
  <c r="I122" i="15" s="1"/>
  <c r="L147" i="15"/>
  <c r="L149" i="15"/>
  <c r="F58" i="15"/>
  <c r="F120" i="15"/>
  <c r="F122" i="15"/>
  <c r="H38" i="15"/>
  <c r="H39" i="15" s="1"/>
  <c r="H41" i="15" s="1"/>
  <c r="F65" i="15"/>
  <c r="J38" i="15"/>
  <c r="J39" i="15" s="1"/>
  <c r="J41" i="15" s="1"/>
  <c r="D119" i="15"/>
  <c r="P119" i="15" s="1"/>
  <c r="F52" i="19" s="1"/>
  <c r="P168" i="15"/>
  <c r="H26" i="8" s="1"/>
  <c r="P80" i="15"/>
  <c r="C13" i="19"/>
  <c r="H27" i="8" l="1"/>
  <c r="H33" i="8" s="1"/>
  <c r="H34" i="8" s="1"/>
  <c r="AF37" i="8" s="1"/>
  <c r="P65" i="15"/>
  <c r="D52" i="19" s="1"/>
  <c r="C26" i="8"/>
  <c r="C27" i="8" s="1"/>
  <c r="C33" i="8" s="1"/>
  <c r="C34" i="8" s="1"/>
  <c r="AA36" i="8" s="1"/>
  <c r="G26" i="8"/>
  <c r="P38" i="15"/>
  <c r="C52" i="19" s="1"/>
  <c r="D176" i="15"/>
  <c r="P166" i="15"/>
  <c r="D174" i="15"/>
  <c r="P174" i="15" s="1"/>
  <c r="P175" i="15" s="1"/>
  <c r="H55" i="19" s="1"/>
  <c r="G66" i="15"/>
  <c r="G68" i="15" s="1"/>
  <c r="G51" i="19"/>
  <c r="G53" i="19" s="1"/>
  <c r="G54" i="19" s="1"/>
  <c r="P92" i="15"/>
  <c r="E52" i="19" s="1"/>
  <c r="P112" i="15"/>
  <c r="D120" i="15"/>
  <c r="P120" i="15" s="1"/>
  <c r="P121" i="15" s="1"/>
  <c r="F55" i="19" s="1"/>
  <c r="E26" i="8"/>
  <c r="P200" i="15"/>
  <c r="I52" i="19" s="1"/>
  <c r="P147" i="15"/>
  <c r="P148" i="15" s="1"/>
  <c r="G55" i="19" s="1"/>
  <c r="D149" i="15"/>
  <c r="F26" i="8"/>
  <c r="H68" i="15"/>
  <c r="H66" i="15"/>
  <c r="D39" i="15"/>
  <c r="P39" i="15" s="1"/>
  <c r="P40" i="15" s="1"/>
  <c r="C55" i="19" s="1"/>
  <c r="P31" i="15"/>
  <c r="I26" i="8"/>
  <c r="E66" i="15"/>
  <c r="E68" i="15"/>
  <c r="P58" i="15"/>
  <c r="D68" i="15"/>
  <c r="D66" i="15"/>
  <c r="F68" i="15"/>
  <c r="F66" i="15"/>
  <c r="D203" i="15"/>
  <c r="D201" i="15"/>
  <c r="P201" i="15" s="1"/>
  <c r="P202" i="15" s="1"/>
  <c r="I55" i="19" s="1"/>
  <c r="P193" i="15"/>
  <c r="P146" i="15"/>
  <c r="G52" i="19" s="1"/>
  <c r="D26" i="8"/>
  <c r="D93" i="15"/>
  <c r="P93" i="15" s="1"/>
  <c r="P94" i="15" s="1"/>
  <c r="E55" i="19" s="1"/>
  <c r="P85" i="15"/>
  <c r="D41" i="15" l="1"/>
  <c r="AA35" i="8"/>
  <c r="C36" i="8"/>
  <c r="AA32" i="8"/>
  <c r="AA37" i="8"/>
  <c r="AA28" i="8"/>
  <c r="AA24" i="8"/>
  <c r="AA29" i="8"/>
  <c r="AA25" i="8"/>
  <c r="AA33" i="8"/>
  <c r="AA27" i="8"/>
  <c r="F27" i="8"/>
  <c r="F33" i="8" s="1"/>
  <c r="F34" i="8" s="1"/>
  <c r="AD37" i="8" s="1"/>
  <c r="G27" i="8"/>
  <c r="G33" i="8" s="1"/>
  <c r="G34" i="8" s="1"/>
  <c r="AE37" i="8" s="1"/>
  <c r="D95" i="15"/>
  <c r="P149" i="15"/>
  <c r="G56" i="19" s="1"/>
  <c r="I27" i="8"/>
  <c r="I33" i="8" s="1"/>
  <c r="I34" i="8" s="1"/>
  <c r="I51" i="19"/>
  <c r="I53" i="19" s="1"/>
  <c r="I54" i="19" s="1"/>
  <c r="P203" i="15"/>
  <c r="I56" i="19" s="1"/>
  <c r="P95" i="15"/>
  <c r="E56" i="19" s="1"/>
  <c r="E51" i="19"/>
  <c r="E53" i="19" s="1"/>
  <c r="E54" i="19" s="1"/>
  <c r="P66" i="15"/>
  <c r="P67" i="15" s="1"/>
  <c r="D55" i="19" s="1"/>
  <c r="P41" i="15"/>
  <c r="C56" i="19" s="1"/>
  <c r="C51" i="19"/>
  <c r="C53" i="19" s="1"/>
  <c r="C54" i="19" s="1"/>
  <c r="E27" i="8"/>
  <c r="E33" i="8" s="1"/>
  <c r="E34" i="8" s="1"/>
  <c r="D27" i="8"/>
  <c r="D33" i="8" s="1"/>
  <c r="D34" i="8" s="1"/>
  <c r="F51" i="19"/>
  <c r="F53" i="19" s="1"/>
  <c r="F54" i="19" s="1"/>
  <c r="P122" i="15"/>
  <c r="F56" i="19" s="1"/>
  <c r="AA31" i="8"/>
  <c r="AA34" i="8"/>
  <c r="P68" i="15"/>
  <c r="D56" i="19" s="1"/>
  <c r="D51" i="19"/>
  <c r="D53" i="19" s="1"/>
  <c r="D54" i="19" s="1"/>
  <c r="D122" i="15"/>
  <c r="H51" i="19"/>
  <c r="H53" i="19" s="1"/>
  <c r="H54" i="19" s="1"/>
  <c r="P176" i="15"/>
  <c r="H56" i="19" s="1"/>
  <c r="AF27" i="8"/>
  <c r="AF35" i="8"/>
  <c r="AF31" i="8"/>
  <c r="H36" i="8"/>
  <c r="AF24" i="8"/>
  <c r="AF36" i="8"/>
  <c r="AF32" i="8"/>
  <c r="AF29" i="8"/>
  <c r="AF25" i="8"/>
  <c r="AF34" i="8"/>
  <c r="AF28" i="8"/>
  <c r="AF33" i="8"/>
  <c r="AH32" i="8" l="1"/>
  <c r="AF38" i="8"/>
  <c r="AA26" i="8"/>
  <c r="AA30" i="8"/>
  <c r="AC33" i="8"/>
  <c r="AC28" i="8"/>
  <c r="AC29" i="8"/>
  <c r="E36" i="8"/>
  <c r="AC36" i="8"/>
  <c r="AC34" i="8"/>
  <c r="AC24" i="8"/>
  <c r="AC31" i="8"/>
  <c r="AC35" i="8"/>
  <c r="AC27" i="8"/>
  <c r="AC32" i="8"/>
  <c r="AC25" i="8"/>
  <c r="I36" i="8"/>
  <c r="AG33" i="8"/>
  <c r="AG36" i="8"/>
  <c r="AG34" i="8"/>
  <c r="AG31" i="8"/>
  <c r="AG35" i="8"/>
  <c r="AG29" i="8"/>
  <c r="AG27" i="8"/>
  <c r="AG24" i="8"/>
  <c r="AG28" i="8"/>
  <c r="AG32" i="8"/>
  <c r="AG25" i="8"/>
  <c r="AG37" i="8"/>
  <c r="D36" i="8"/>
  <c r="AB36" i="8"/>
  <c r="AH36" i="8" s="1"/>
  <c r="AB32" i="8"/>
  <c r="AB35" i="8"/>
  <c r="AH35" i="8" s="1"/>
  <c r="AB29" i="8"/>
  <c r="AH29" i="8" s="1"/>
  <c r="AB25" i="8"/>
  <c r="AH25" i="8" s="1"/>
  <c r="AB31" i="8"/>
  <c r="AH31" i="8" s="1"/>
  <c r="AB33" i="8"/>
  <c r="AH33" i="8" s="1"/>
  <c r="AB24" i="8"/>
  <c r="AH24" i="8" s="1"/>
  <c r="AB27" i="8"/>
  <c r="AH27" i="8" s="1"/>
  <c r="AB34" i="8"/>
  <c r="AH34" i="8" s="1"/>
  <c r="AB28" i="8"/>
  <c r="AH28" i="8" s="1"/>
  <c r="G36" i="8"/>
  <c r="AE36" i="8"/>
  <c r="AE27" i="8"/>
  <c r="AE33" i="8"/>
  <c r="AE34" i="8"/>
  <c r="AE32" i="8"/>
  <c r="AE31" i="8"/>
  <c r="AE25" i="8"/>
  <c r="AE28" i="8"/>
  <c r="AE29" i="8"/>
  <c r="AE35" i="8"/>
  <c r="AE24" i="8"/>
  <c r="AF30" i="8"/>
  <c r="AB37" i="8"/>
  <c r="AH37" i="8" s="1"/>
  <c r="AA38" i="8"/>
  <c r="AF26" i="8"/>
  <c r="AC37" i="8"/>
  <c r="F36" i="8"/>
  <c r="AD35" i="8"/>
  <c r="AD24" i="8"/>
  <c r="AD33" i="8"/>
  <c r="AD36" i="8"/>
  <c r="AD31" i="8"/>
  <c r="AD34" i="8"/>
  <c r="AD27" i="8"/>
  <c r="AD25" i="8"/>
  <c r="AD32" i="8"/>
  <c r="AD28" i="8"/>
  <c r="AD29" i="8"/>
  <c r="AG38" i="8" l="1"/>
  <c r="AE38" i="8"/>
  <c r="AD38" i="8"/>
  <c r="AC38" i="8"/>
  <c r="AF39" i="8"/>
  <c r="AC30" i="8"/>
  <c r="AE26" i="8"/>
  <c r="AD26" i="8"/>
  <c r="AB38" i="8"/>
  <c r="AH38" i="8" s="1"/>
  <c r="AE30" i="8"/>
  <c r="AC26" i="8"/>
  <c r="AG26" i="8"/>
  <c r="AD30" i="8"/>
  <c r="AG30" i="8"/>
  <c r="AA39" i="8"/>
  <c r="AB30" i="8"/>
  <c r="AH30" i="8" s="1"/>
  <c r="AB26" i="8"/>
  <c r="AH26" i="8" s="1"/>
  <c r="AD39" i="8" l="1"/>
  <c r="AE39" i="8"/>
  <c r="AC39" i="8"/>
  <c r="AB39" i="8"/>
  <c r="AG3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378" authorId="0" shapeId="0" xr:uid="{7E3EB270-329D-4BF0-82D5-FE1C6C8B3CFD}">
      <text>
        <r>
          <rPr>
            <sz val="9"/>
            <color indexed="81"/>
            <rFont val="Tahoma"/>
            <family val="2"/>
            <charset val="186"/>
          </rPr>
          <t>A4=1/16 A0</t>
        </r>
      </text>
    </comment>
  </commentList>
</comments>
</file>

<file path=xl/sharedStrings.xml><?xml version="1.0" encoding="utf-8"?>
<sst xmlns="http://schemas.openxmlformats.org/spreadsheetml/2006/main" count="2344" uniqueCount="502">
  <si>
    <t>KESKKONNAJALAJÄLJE ARVUTUSMUDELI EESMÄRK</t>
  </si>
  <si>
    <t>SISU JA KASUTAMINE</t>
  </si>
  <si>
    <t>TABELI TÄITMISE JUHIS:</t>
  </si>
  <si>
    <t>sisesta andmed</t>
  </si>
  <si>
    <t>andmed arvutatakse valemite abil</t>
  </si>
  <si>
    <t>ÜLDANDMED</t>
  </si>
  <si>
    <t>ELEKTRIENERGIA TARBIMINE</t>
  </si>
  <si>
    <t>mittetäidetavad lahtrid</t>
  </si>
  <si>
    <t>KHG JALAJÄLJE ARVUTAMISE ANDMED</t>
  </si>
  <si>
    <t>AASTA</t>
  </si>
  <si>
    <t>ANDMED</t>
  </si>
  <si>
    <t>Jaanuar</t>
  </si>
  <si>
    <t>Veebruar</t>
  </si>
  <si>
    <t>Märts</t>
  </si>
  <si>
    <t>Aprill</t>
  </si>
  <si>
    <t>Mai</t>
  </si>
  <si>
    <t xml:space="preserve">Juuni </t>
  </si>
  <si>
    <t>Juuli</t>
  </si>
  <si>
    <t>August</t>
  </si>
  <si>
    <t>September</t>
  </si>
  <si>
    <t>Oktoober</t>
  </si>
  <si>
    <t>November</t>
  </si>
  <si>
    <t>Detsember</t>
  </si>
  <si>
    <t>AASTAS KOKKU</t>
  </si>
  <si>
    <t>Taastuvelektri osakaal (%)</t>
  </si>
  <si>
    <t>Kontoris</t>
  </si>
  <si>
    <t>Kodukontorites</t>
  </si>
  <si>
    <t>Kodukontoris töötajate arv (taandatud täistööajale)</t>
  </si>
  <si>
    <t>Elektritarbimine kodukontorites (kWh)</t>
  </si>
  <si>
    <t>Elektritarbimine kokku (kWh)</t>
  </si>
  <si>
    <t>SOOJUSENERGIA TARBIMINE</t>
  </si>
  <si>
    <t>vali andmed rippmenüüst</t>
  </si>
  <si>
    <t>Kaugkütte võrgupiirkond</t>
  </si>
  <si>
    <r>
      <t>Kaugkütte võrgupiirkonna eriheitetegur 
(kg CO</t>
    </r>
    <r>
      <rPr>
        <b/>
        <vertAlign val="subscript"/>
        <sz val="10"/>
        <rFont val="Calibri"/>
        <family val="2"/>
        <scheme val="minor"/>
      </rPr>
      <t xml:space="preserve">2 </t>
    </r>
    <r>
      <rPr>
        <b/>
        <sz val="10"/>
        <rFont val="Calibri"/>
        <family val="2"/>
        <charset val="186"/>
        <scheme val="minor"/>
      </rPr>
      <t>ekv/kWh)</t>
    </r>
  </si>
  <si>
    <t>Oma keskküttekatla kütuseliik</t>
  </si>
  <si>
    <r>
      <t>Soojusenergia tarbimine ruutmeetri kohta (kWh/m</t>
    </r>
    <r>
      <rPr>
        <vertAlign val="superscript"/>
        <sz val="10"/>
        <rFont val="Calibri"/>
        <family val="2"/>
        <scheme val="minor"/>
      </rPr>
      <t>2</t>
    </r>
    <r>
      <rPr>
        <sz val="10"/>
        <rFont val="Calibri"/>
        <family val="2"/>
        <scheme val="minor"/>
      </rPr>
      <t>)</t>
    </r>
  </si>
  <si>
    <t>VEETARBIMINE</t>
  </si>
  <si>
    <r>
      <t>sisesta andmed arvetelt (m</t>
    </r>
    <r>
      <rPr>
        <i/>
        <vertAlign val="superscript"/>
        <sz val="10"/>
        <rFont val="Calibri"/>
        <family val="2"/>
        <scheme val="minor"/>
      </rPr>
      <t>3</t>
    </r>
    <r>
      <rPr>
        <i/>
        <sz val="10"/>
        <rFont val="Calibri"/>
        <family val="2"/>
        <scheme val="minor"/>
      </rPr>
      <t>)</t>
    </r>
  </si>
  <si>
    <t>PABERIKASUTUS</t>
  </si>
  <si>
    <t>1 pakk=</t>
  </si>
  <si>
    <t>lehte</t>
  </si>
  <si>
    <t>1 A4 leht=</t>
  </si>
  <si>
    <t>g</t>
  </si>
  <si>
    <r>
      <t xml:space="preserve">Kontoripaberi tarbimisega seotud KHG jalajälg arvutatakse automaatselt lehel </t>
    </r>
    <r>
      <rPr>
        <sz val="11"/>
        <rFont val="Calibri"/>
        <family val="2"/>
      </rPr>
      <t>'</t>
    </r>
    <r>
      <rPr>
        <i/>
        <sz val="11"/>
        <rFont val="Calibri"/>
        <family val="2"/>
      </rPr>
      <t>KHG JALAJÄLG KOOND</t>
    </r>
    <r>
      <rPr>
        <sz val="11"/>
        <rFont val="Calibri"/>
        <family val="2"/>
      </rPr>
      <t>'</t>
    </r>
    <r>
      <rPr>
        <i/>
        <sz val="11"/>
        <rFont val="Calibri"/>
        <family val="2"/>
        <scheme val="minor"/>
      </rPr>
      <t>.</t>
    </r>
  </si>
  <si>
    <t>Ostetud kontoripaberi pakke (tk)</t>
  </si>
  <si>
    <t>Kontoripaberi lehti (A4) kokku</t>
  </si>
  <si>
    <t>Kontoripaberi lehti (A4) töötaja kohta (lehti/in)</t>
  </si>
  <si>
    <t>Ostetud kontoripaber (kg)</t>
  </si>
  <si>
    <t>JÄÄTMETEKE</t>
  </si>
  <si>
    <t xml:space="preserve">Liigiti kogutud biojäätmed (toidujäätmed): </t>
  </si>
  <si>
    <r>
      <t>1 m</t>
    </r>
    <r>
      <rPr>
        <i/>
        <vertAlign val="superscript"/>
        <sz val="11"/>
        <color theme="1"/>
        <rFont val="Calibri"/>
        <family val="2"/>
        <scheme val="minor"/>
      </rPr>
      <t>3</t>
    </r>
    <r>
      <rPr>
        <i/>
        <sz val="11"/>
        <color theme="1"/>
        <rFont val="Calibri"/>
        <family val="2"/>
        <scheme val="minor"/>
      </rPr>
      <t>=</t>
    </r>
  </si>
  <si>
    <t>tonni</t>
  </si>
  <si>
    <t>kg</t>
  </si>
  <si>
    <t>Liigiti kogutud klaaspakend:</t>
  </si>
  <si>
    <t>Liigiti kogutud paber ja kartong:</t>
  </si>
  <si>
    <t>Liigiti kogutud segapakend:</t>
  </si>
  <si>
    <t xml:space="preserve">Segaolmejäätmed: </t>
  </si>
  <si>
    <r>
      <t>sisesta jäätmete maht (m</t>
    </r>
    <r>
      <rPr>
        <i/>
        <vertAlign val="superscript"/>
        <sz val="10"/>
        <rFont val="Calibri"/>
        <family val="2"/>
        <scheme val="minor"/>
      </rPr>
      <t>3</t>
    </r>
    <r>
      <rPr>
        <i/>
        <sz val="10"/>
        <rFont val="Calibri"/>
        <family val="2"/>
        <scheme val="minor"/>
      </rPr>
      <t>) VÕI kaal (kg)</t>
    </r>
  </si>
  <si>
    <r>
      <t>Liigiti kogutud biojäätmed (m</t>
    </r>
    <r>
      <rPr>
        <vertAlign val="superscript"/>
        <sz val="10"/>
        <rFont val="Calibri"/>
        <family val="2"/>
        <scheme val="minor"/>
      </rPr>
      <t>3</t>
    </r>
    <r>
      <rPr>
        <sz val="10"/>
        <rFont val="Calibri"/>
        <family val="2"/>
        <scheme val="minor"/>
      </rPr>
      <t>)</t>
    </r>
  </si>
  <si>
    <t>Liigiti kogutud biojäätmed (kg), mahu põhjal arvutatuna</t>
  </si>
  <si>
    <t>Liigiti kogutud biojäätmed (kg)</t>
  </si>
  <si>
    <r>
      <t>Liigiti kogutud klaaspakend (m</t>
    </r>
    <r>
      <rPr>
        <vertAlign val="superscript"/>
        <sz val="10"/>
        <rFont val="Calibri"/>
        <family val="2"/>
        <scheme val="minor"/>
      </rPr>
      <t>3</t>
    </r>
    <r>
      <rPr>
        <sz val="10"/>
        <rFont val="Calibri"/>
        <family val="2"/>
        <scheme val="minor"/>
      </rPr>
      <t>)</t>
    </r>
  </si>
  <si>
    <t>Liigiti kogutud klaaspakend (kg), mahu põhjal arvutatuna</t>
  </si>
  <si>
    <t>Liigiti kogutud klaaspakend (kg)</t>
  </si>
  <si>
    <r>
      <t>Liigiti kogutud paber ja kartong (m</t>
    </r>
    <r>
      <rPr>
        <vertAlign val="superscript"/>
        <sz val="10"/>
        <rFont val="Calibri"/>
        <family val="2"/>
        <scheme val="minor"/>
      </rPr>
      <t>3</t>
    </r>
    <r>
      <rPr>
        <sz val="10"/>
        <rFont val="Calibri"/>
        <family val="2"/>
        <scheme val="minor"/>
      </rPr>
      <t>)</t>
    </r>
  </si>
  <si>
    <t>Liigiti kogutud paber ja kartong (kg), mahu põhjal arvutatuna</t>
  </si>
  <si>
    <t>Liigiti kogutud paber ja kartong (kg)</t>
  </si>
  <si>
    <r>
      <t>Liigiti kogutud segapakend (m</t>
    </r>
    <r>
      <rPr>
        <vertAlign val="superscript"/>
        <sz val="10"/>
        <rFont val="Calibri"/>
        <family val="2"/>
        <scheme val="minor"/>
      </rPr>
      <t>3</t>
    </r>
    <r>
      <rPr>
        <sz val="10"/>
        <rFont val="Calibri"/>
        <family val="2"/>
        <scheme val="minor"/>
      </rPr>
      <t>)</t>
    </r>
  </si>
  <si>
    <t>Liigiti kogutud segapakend (kg), mahu põhjal arvutatuna</t>
  </si>
  <si>
    <t>Liigiti kogutud segapakend (kg)</t>
  </si>
  <si>
    <t>LIIGITI KOGUTUD JÄÄTMED KOKKU (kg)</t>
  </si>
  <si>
    <r>
      <t>Segaolmejäätmed, prügilasse ladestamine (m</t>
    </r>
    <r>
      <rPr>
        <vertAlign val="superscript"/>
        <sz val="10"/>
        <color theme="1"/>
        <rFont val="Calibri"/>
        <family val="2"/>
        <scheme val="minor"/>
      </rPr>
      <t>3</t>
    </r>
    <r>
      <rPr>
        <sz val="10"/>
        <color theme="1"/>
        <rFont val="Calibri"/>
        <family val="2"/>
        <scheme val="minor"/>
      </rPr>
      <t>)</t>
    </r>
  </si>
  <si>
    <t>Segaolmejäätmed, prügilasse ladestamine (kg), mahu põhjal arvutatuna</t>
  </si>
  <si>
    <t>Segaolmejäätmed, prügilasse ladestamine (kg)</t>
  </si>
  <si>
    <r>
      <t>Segaolmejäätmed, põletamine (m</t>
    </r>
    <r>
      <rPr>
        <vertAlign val="superscript"/>
        <sz val="10"/>
        <color theme="1"/>
        <rFont val="Calibri"/>
        <family val="2"/>
        <scheme val="minor"/>
      </rPr>
      <t>3</t>
    </r>
    <r>
      <rPr>
        <sz val="10"/>
        <color theme="1"/>
        <rFont val="Calibri"/>
        <family val="2"/>
        <scheme val="minor"/>
      </rPr>
      <t>)</t>
    </r>
  </si>
  <si>
    <t>Segaolmejäätmed, põletamine (kg), mahu põhjal arvutatuna</t>
  </si>
  <si>
    <t>Segaolmejäätmed, põletamine (kg)</t>
  </si>
  <si>
    <t>Segaolmejäätmed kokku (kg)</t>
  </si>
  <si>
    <t>OLMEJÄÄTMED KOKKU (kg)</t>
  </si>
  <si>
    <t>Liigiti kogutud jäätmete osakaal (%)</t>
  </si>
  <si>
    <t>ELEKTRI-, SOOJUSENERGIA, VEE- JA PABERIKASUTUSE NING JÄÄTMETEKKE KOONDTULEMUSED</t>
  </si>
  <si>
    <t>ELEKTRITARBIMINE</t>
  </si>
  <si>
    <t>Elektrienergia tarbimine kokku (kWh)</t>
  </si>
  <si>
    <t>OLMEJÄÄTMETE TEKE</t>
  </si>
  <si>
    <t>Liigiti kogutud segapakendid (kg)</t>
  </si>
  <si>
    <t>Liigiti kogutud jäätmed kokku (kg)</t>
  </si>
  <si>
    <t>Segaolmejäätmed (kg)</t>
  </si>
  <si>
    <t>Olmejäätmete teke kokku (kg)</t>
  </si>
  <si>
    <t>Olmejäätmete teke kokku (t)</t>
  </si>
  <si>
    <t>KÜTUSE-/ ELEKTRIKULU</t>
  </si>
  <si>
    <r>
      <t>KHG HEITKOGUS 
(t CO</t>
    </r>
    <r>
      <rPr>
        <b/>
        <vertAlign val="subscript"/>
        <sz val="10"/>
        <color theme="1"/>
        <rFont val="Calibri"/>
        <family val="2"/>
        <scheme val="minor"/>
      </rPr>
      <t>2</t>
    </r>
    <r>
      <rPr>
        <b/>
        <sz val="10"/>
        <color theme="1"/>
        <rFont val="Calibri"/>
        <family val="2"/>
        <scheme val="minor"/>
      </rPr>
      <t xml:space="preserve"> ekv)</t>
    </r>
  </si>
  <si>
    <t>Tarbitud bensiini kogus (liitrit)</t>
  </si>
  <si>
    <t>Tarbitud diisli kogus (liitrit)</t>
  </si>
  <si>
    <t>Tarbitud biometaani kogus (kg)</t>
  </si>
  <si>
    <t>Tarbitud maagaasi kogus (kg)</t>
  </si>
  <si>
    <t>Tarbitud taastuvelektri kogus (kWh)</t>
  </si>
  <si>
    <t>Tarbitud tavaelektri kogus (kWh)</t>
  </si>
  <si>
    <t>HAJUSHEITMED</t>
  </si>
  <si>
    <t>SÜSTEEMI VÕI SEADMESSE LISATUD (LEKKINUD) F-GAASI KOGUS (kg)</t>
  </si>
  <si>
    <t>GLOBAALSE SOOJENEMISE POTENTSIAAL</t>
  </si>
  <si>
    <t>Kasutatud F-gaas</t>
  </si>
  <si>
    <t>Hajusheitmete KHG heitkogus kokku</t>
  </si>
  <si>
    <t>TÖÖREISID</t>
  </si>
  <si>
    <t xml:space="preserve">LÄBITUD VAHEMAA </t>
  </si>
  <si>
    <t>KHG HEITKOGUS (läbitud vahemaa põhjal arvutatud)</t>
  </si>
  <si>
    <t>KHG HEITKOGUS 
(ise välja arvutatuna)</t>
  </si>
  <si>
    <t>Tööreisid autoga</t>
  </si>
  <si>
    <t>km</t>
  </si>
  <si>
    <r>
      <t>t CO</t>
    </r>
    <r>
      <rPr>
        <b/>
        <vertAlign val="subscript"/>
        <sz val="10"/>
        <color theme="1"/>
        <rFont val="Calibri"/>
        <family val="2"/>
        <scheme val="minor"/>
      </rPr>
      <t>2</t>
    </r>
    <r>
      <rPr>
        <b/>
        <sz val="10"/>
        <color theme="1"/>
        <rFont val="Calibri"/>
        <family val="2"/>
        <scheme val="minor"/>
      </rPr>
      <t xml:space="preserve"> ekv</t>
    </r>
  </si>
  <si>
    <t>Bensiiniauto</t>
  </si>
  <si>
    <t>Diiselauto</t>
  </si>
  <si>
    <t>Taastuvelektriga laaditud elektriauto</t>
  </si>
  <si>
    <t>Tavaelektriga laaditud elektriauto</t>
  </si>
  <si>
    <t>Takso</t>
  </si>
  <si>
    <t>Tööreisid ühistranspordiga</t>
  </si>
  <si>
    <t>sõitja-km</t>
  </si>
  <si>
    <t>Kaugliinibuss</t>
  </si>
  <si>
    <t>Linnaliinibuss Tallinnas</t>
  </si>
  <si>
    <t>Linnaliinibuss mujal Eestis</t>
  </si>
  <si>
    <t>Diiselrong</t>
  </si>
  <si>
    <t>Elektrirong</t>
  </si>
  <si>
    <t>Laev</t>
  </si>
  <si>
    <t>Lennuk</t>
  </si>
  <si>
    <t>Tööreiside KHG heitkogus kokku</t>
  </si>
  <si>
    <t>TÖÖTAJATE TÖÖLE-KOJU LIIKUMINE</t>
  </si>
  <si>
    <t>TABELITE TÄITMISE JUHIS:</t>
  </si>
  <si>
    <t>TÖÖTAJATE LÄBITUD VAHEMAA KOKKU (km)</t>
  </si>
  <si>
    <r>
      <t>KHG HEITKOGUS (t CO</t>
    </r>
    <r>
      <rPr>
        <b/>
        <vertAlign val="subscript"/>
        <sz val="10"/>
        <rFont val="Calibri"/>
        <family val="2"/>
        <scheme val="minor"/>
      </rPr>
      <t>2</t>
    </r>
    <r>
      <rPr>
        <b/>
        <sz val="10"/>
        <rFont val="Calibri"/>
        <family val="2"/>
        <scheme val="minor"/>
      </rPr>
      <t xml:space="preserve"> ekv)</t>
    </r>
  </si>
  <si>
    <t>Tööle-koju liikumine autoga</t>
  </si>
  <si>
    <t>Taastuvelektriga laetud elektriauto</t>
  </si>
  <si>
    <t>Tavaelektriga laetud elektriauto</t>
  </si>
  <si>
    <t>Tööle-koju liikumine ühistranspordiga</t>
  </si>
  <si>
    <t>Maakonnaliinibuss</t>
  </si>
  <si>
    <t>Tramm/troll</t>
  </si>
  <si>
    <t>Tööle-koju liikumine jalgratta/tõukerattaga</t>
  </si>
  <si>
    <t>Tavajalgratas</t>
  </si>
  <si>
    <t>Taastuvelektriga laetud elektriratas (sh Bolt, Tuul)</t>
  </si>
  <si>
    <t>Tavaelektriga laetud elektriratas</t>
  </si>
  <si>
    <t>Tööle-koju liikumine jala</t>
  </si>
  <si>
    <t>Tööle-koju liikumise KHG heitkogus kokku</t>
  </si>
  <si>
    <t>SISSEOSTETUD TRANSPORDITEENUS</t>
  </si>
  <si>
    <t>KHG HEITKOGUS
(kütuse-/elektrikulu põhjal)</t>
  </si>
  <si>
    <t>KHG HEITKOGUS 
(läbisõidu põhjal)</t>
  </si>
  <si>
    <t>KHG HEITKOGUS AASTAS KOKKU</t>
  </si>
  <si>
    <t>l või kWh</t>
  </si>
  <si>
    <r>
      <t>t CO</t>
    </r>
    <r>
      <rPr>
        <b/>
        <vertAlign val="subscript"/>
        <sz val="10"/>
        <rFont val="Calibri"/>
        <family val="2"/>
        <scheme val="minor"/>
      </rPr>
      <t>2</t>
    </r>
    <r>
      <rPr>
        <b/>
        <sz val="10"/>
        <rFont val="Calibri"/>
        <family val="2"/>
        <scheme val="minor"/>
      </rPr>
      <t xml:space="preserve"> ekv l, kg või kWh kohta</t>
    </r>
  </si>
  <si>
    <r>
      <t>t CO</t>
    </r>
    <r>
      <rPr>
        <b/>
        <vertAlign val="subscript"/>
        <sz val="10"/>
        <rFont val="Calibri"/>
        <family val="2"/>
        <scheme val="minor"/>
      </rPr>
      <t>2</t>
    </r>
    <r>
      <rPr>
        <b/>
        <sz val="10"/>
        <rFont val="Calibri"/>
        <family val="2"/>
        <scheme val="minor"/>
      </rPr>
      <t xml:space="preserve"> ekv/km</t>
    </r>
  </si>
  <si>
    <t>tonn-km</t>
  </si>
  <si>
    <r>
      <t>t CO</t>
    </r>
    <r>
      <rPr>
        <b/>
        <vertAlign val="subscript"/>
        <sz val="10"/>
        <rFont val="Calibri"/>
        <family val="2"/>
        <scheme val="minor"/>
      </rPr>
      <t>2</t>
    </r>
    <r>
      <rPr>
        <b/>
        <sz val="10"/>
        <rFont val="Calibri"/>
        <family val="2"/>
        <scheme val="minor"/>
      </rPr>
      <t xml:space="preserve"> ekv/tonn-km</t>
    </r>
  </si>
  <si>
    <r>
      <t>t CO</t>
    </r>
    <r>
      <rPr>
        <b/>
        <vertAlign val="subscript"/>
        <sz val="10"/>
        <rFont val="Calibri"/>
        <family val="2"/>
        <scheme val="minor"/>
      </rPr>
      <t>2</t>
    </r>
    <r>
      <rPr>
        <b/>
        <sz val="10"/>
        <rFont val="Calibri"/>
        <family val="2"/>
        <scheme val="minor"/>
      </rPr>
      <t xml:space="preserve"> ekv</t>
    </r>
  </si>
  <si>
    <t>Kauba transport</t>
  </si>
  <si>
    <t>Kaubik, bensiin</t>
  </si>
  <si>
    <t>Kaubik, diisel</t>
  </si>
  <si>
    <t xml:space="preserve">Kaubik, taastuvelekter </t>
  </si>
  <si>
    <t>Kaubik, tavaelekter</t>
  </si>
  <si>
    <t>Inimeste transport</t>
  </si>
  <si>
    <t>Buss, diisel</t>
  </si>
  <si>
    <t>Väikebuss, diisel</t>
  </si>
  <si>
    <t>Sisseostetud transporditeenuse KHG heitkogus kokku</t>
  </si>
  <si>
    <t>KHG HEITKOGUS 
(kütuse-/elektrikulu põhjal)</t>
  </si>
  <si>
    <t>KHG JALAJÄLG MÕJUALADE KAUPA (CO₂ ekv t/a)</t>
  </si>
  <si>
    <t>Hajusheitmed kliimaseadmetest</t>
  </si>
  <si>
    <t>MÕJUALA 1 KOKKU</t>
  </si>
  <si>
    <t>MÕJUALA 2 KOKKU</t>
  </si>
  <si>
    <t xml:space="preserve">Kodukontorite elektrienergia tarbimine </t>
  </si>
  <si>
    <t>Tööreisid</t>
  </si>
  <si>
    <t xml:space="preserve">Tööle-koju liikumine </t>
  </si>
  <si>
    <t>Sisseostetud transporditeenus</t>
  </si>
  <si>
    <t>Joonise andmed:</t>
  </si>
  <si>
    <t>Veetarbimine ja reovee käitlus</t>
  </si>
  <si>
    <t>MÕJUALA 1</t>
  </si>
  <si>
    <t>Paberikasutus</t>
  </si>
  <si>
    <t>Hajusheitmed</t>
  </si>
  <si>
    <t>Jäätmekäitlus</t>
  </si>
  <si>
    <t>Mõjuala 1 kokku</t>
  </si>
  <si>
    <t>MÕJUALA 3 KOKKU</t>
  </si>
  <si>
    <t>MÕJUALA 2</t>
  </si>
  <si>
    <t>Mõjuala 2 kokku</t>
  </si>
  <si>
    <r>
      <t xml:space="preserve">Mõjuala 1 </t>
    </r>
    <r>
      <rPr>
        <sz val="10"/>
        <color theme="1"/>
        <rFont val="Calibri"/>
        <family val="2"/>
      </rPr>
      <t>‒</t>
    </r>
    <r>
      <rPr>
        <sz val="10"/>
        <color theme="1"/>
        <rFont val="Calibri"/>
        <family val="2"/>
        <scheme val="minor"/>
      </rPr>
      <t xml:space="preserve"> organisatsiooni omatud/kontrollitud heiteallikatest tulenev otsene KHG heide</t>
    </r>
  </si>
  <si>
    <t>MÕJUALA 3</t>
  </si>
  <si>
    <t>Kodukontor</t>
  </si>
  <si>
    <t>Mõjuala 2 ‒ energiatarbimisest tulenev kaudne KHG heide</t>
  </si>
  <si>
    <t xml:space="preserve">Mõjuala 3 ‒ muu kaudne KHG heide </t>
  </si>
  <si>
    <t>Tööle-koju</t>
  </si>
  <si>
    <t>KHG JALAJÄLG KOKKU</t>
  </si>
  <si>
    <t>Transporditeenus</t>
  </si>
  <si>
    <t>Vesi</t>
  </si>
  <si>
    <t>Paber</t>
  </si>
  <si>
    <t>Jäätmed</t>
  </si>
  <si>
    <t>Mõjuala 3 kokku</t>
  </si>
  <si>
    <t>KOKKU</t>
  </si>
  <si>
    <t>Vali aasta</t>
  </si>
  <si>
    <t>ERIHEITETEGURID</t>
  </si>
  <si>
    <t>M2 - Sisseostetud elekter</t>
  </si>
  <si>
    <t>Aasta</t>
  </si>
  <si>
    <t>Elektrienergia segajäägi eriheide</t>
  </si>
  <si>
    <t>Eriheitetegur</t>
  </si>
  <si>
    <t>Ühik</t>
  </si>
  <si>
    <t>Allikas</t>
  </si>
  <si>
    <t>Elektrienergia segajääk</t>
  </si>
  <si>
    <r>
      <t>kg CO</t>
    </r>
    <r>
      <rPr>
        <vertAlign val="subscript"/>
        <sz val="10"/>
        <color theme="1"/>
        <rFont val="Calibri"/>
        <family val="2"/>
        <scheme val="minor"/>
      </rPr>
      <t>2</t>
    </r>
    <r>
      <rPr>
        <sz val="10"/>
        <color theme="1"/>
        <rFont val="Calibri"/>
        <family val="2"/>
        <scheme val="minor"/>
      </rPr>
      <t>/kWh</t>
    </r>
  </si>
  <si>
    <t>Elering 2023. Elektrienergia segajäägi eriheide 2022</t>
  </si>
  <si>
    <t xml:space="preserve">M2 - Sisseostetud soojusenergia </t>
  </si>
  <si>
    <t>Kaugkütte võrgupiirkond - Tallinn</t>
  </si>
  <si>
    <t>Tallinn</t>
  </si>
  <si>
    <r>
      <t>kg CO</t>
    </r>
    <r>
      <rPr>
        <vertAlign val="subscript"/>
        <sz val="10"/>
        <color theme="1"/>
        <rFont val="Calibri"/>
        <family val="2"/>
        <scheme val="minor"/>
      </rPr>
      <t xml:space="preserve">2 </t>
    </r>
    <r>
      <rPr>
        <sz val="10"/>
        <color theme="1"/>
        <rFont val="Calibri"/>
        <family val="2"/>
        <scheme val="minor"/>
      </rPr>
      <t>ekv/kWh</t>
    </r>
  </si>
  <si>
    <t>Sisestage ise vastava aasta kaugkütte eriheitetegur, mis avaldatakse AS Utilitase iseteenindusportaalis</t>
  </si>
  <si>
    <t>Kaugkütte võrgupiirkond - Tartu</t>
  </si>
  <si>
    <t>Tartu</t>
  </si>
  <si>
    <t>Sisestage ise vastava aasta kaugkütte eriheitetegur, mis avaldatakse AS Gren kodulehel https://gren.com/ee/soojuse-tootmise-naitajad/</t>
  </si>
  <si>
    <t>Kaugkütte võrgupiirkond - Pärnu</t>
  </si>
  <si>
    <t>Pärnu</t>
  </si>
  <si>
    <t>Oma keskküttekatla (lokaalkütte) kütuseliik</t>
  </si>
  <si>
    <t>Biomass/puit</t>
  </si>
  <si>
    <t>Freesturvas</t>
  </si>
  <si>
    <t>Kütteõli</t>
  </si>
  <si>
    <t>Maagaas</t>
  </si>
  <si>
    <t>Põlevkiviõli</t>
  </si>
  <si>
    <t>M1 - Sõidukikütused, M2 - Elekter</t>
  </si>
  <si>
    <t>Kütuseliik/elekter</t>
  </si>
  <si>
    <t>Bensiin, kaubik (l)</t>
  </si>
  <si>
    <t>Bensiin, sõiduauto (l)</t>
  </si>
  <si>
    <r>
      <t>kg CO</t>
    </r>
    <r>
      <rPr>
        <vertAlign val="subscript"/>
        <sz val="10"/>
        <color theme="1"/>
        <rFont val="Calibri"/>
        <family val="2"/>
        <scheme val="minor"/>
      </rPr>
      <t>2</t>
    </r>
    <r>
      <rPr>
        <sz val="10"/>
        <color theme="1"/>
        <rFont val="Calibri"/>
        <family val="2"/>
        <scheme val="minor"/>
      </rPr>
      <t xml:space="preserve"> ekv/l</t>
    </r>
  </si>
  <si>
    <t>Bio-CNG, sõiduauto (kg)</t>
  </si>
  <si>
    <r>
      <t>kg CO</t>
    </r>
    <r>
      <rPr>
        <vertAlign val="subscript"/>
        <sz val="10"/>
        <color theme="1"/>
        <rFont val="Calibri"/>
        <family val="2"/>
        <scheme val="minor"/>
      </rPr>
      <t>2</t>
    </r>
    <r>
      <rPr>
        <sz val="10"/>
        <color theme="1"/>
        <rFont val="Calibri"/>
        <family val="2"/>
        <scheme val="minor"/>
      </rPr>
      <t xml:space="preserve"> ekv/kg</t>
    </r>
  </si>
  <si>
    <t>Diisel, buss (l)</t>
  </si>
  <si>
    <t>Diisel, kaubik (l)</t>
  </si>
  <si>
    <t>Diisel, sõiduauto (l)</t>
  </si>
  <si>
    <t>Maagaas (CNG), sõiduauto (kg)</t>
  </si>
  <si>
    <t>Sõiduvahend (taastuvelekter)</t>
  </si>
  <si>
    <r>
      <t>kg CO</t>
    </r>
    <r>
      <rPr>
        <vertAlign val="subscript"/>
        <sz val="10"/>
        <color theme="1"/>
        <rFont val="Calibri"/>
        <family val="2"/>
        <scheme val="minor"/>
      </rPr>
      <t>2</t>
    </r>
    <r>
      <rPr>
        <sz val="10"/>
        <color theme="1"/>
        <rFont val="Calibri"/>
        <family val="2"/>
        <scheme val="minor"/>
      </rPr>
      <t xml:space="preserve"> ekv/kWh</t>
    </r>
  </si>
  <si>
    <t>CoM Default Emission Factors for the Member States of the European Union Dataset Version 2016</t>
  </si>
  <si>
    <t>Sõiduvahend (tavaelekter)</t>
  </si>
  <si>
    <t>Elering 2024. Elektrienergia segajäägi eriheide 2023</t>
  </si>
  <si>
    <t>Elering 2025. Elektrienergia segajäägi eriheide 2024</t>
  </si>
  <si>
    <t>Elering 2026. Elektrienergia segajäägi eriheide 2025</t>
  </si>
  <si>
    <t>Elering 2027. Elektrienergia segajäägi eriheide 2026</t>
  </si>
  <si>
    <t>Elering 2028. Elektrienergia segajäägi eriheide 2027</t>
  </si>
  <si>
    <t>Elering 2029. Elektrienergia segajäägi eriheide 2028</t>
  </si>
  <si>
    <t>M1 - Hajusheitmed</t>
  </si>
  <si>
    <t>F-gaas</t>
  </si>
  <si>
    <t xml:space="preserve">Globaalse </t>
  </si>
  <si>
    <t xml:space="preserve">soojenemise </t>
  </si>
  <si>
    <t>potentsiaal</t>
  </si>
  <si>
    <t>R-134a (HFC-134a)</t>
  </si>
  <si>
    <t>IPCC AR5 (GWP-100)</t>
  </si>
  <si>
    <t>R-404A</t>
  </si>
  <si>
    <t>R-407A</t>
  </si>
  <si>
    <t>R-407C</t>
  </si>
  <si>
    <t>R-407F</t>
  </si>
  <si>
    <t>R-410A</t>
  </si>
  <si>
    <t>R-417A</t>
  </si>
  <si>
    <t>R-422A</t>
  </si>
  <si>
    <t>R-422D</t>
  </si>
  <si>
    <t>R-427A</t>
  </si>
  <si>
    <t>R-507A</t>
  </si>
  <si>
    <t>https://klab.ee/f-gaasid/juhendid/jahutus-ja-kliimaseadmete-ning-soojuspumpade-kaitlejale/oluline-teada-paiksed-jahutusseadmed/#ftn2</t>
  </si>
  <si>
    <t>M3 - Tööreisid, tööle-koju liikumine</t>
  </si>
  <si>
    <t>Sõidukiliik</t>
  </si>
  <si>
    <t>Sõiduauto, keskmise suurusega (bensiin)</t>
  </si>
  <si>
    <r>
      <t>kg CO</t>
    </r>
    <r>
      <rPr>
        <vertAlign val="subscript"/>
        <sz val="10"/>
        <color theme="1"/>
        <rFont val="Calibri"/>
        <family val="2"/>
        <scheme val="minor"/>
      </rPr>
      <t>2</t>
    </r>
    <r>
      <rPr>
        <sz val="10"/>
        <color theme="1"/>
        <rFont val="Calibri"/>
        <family val="2"/>
        <scheme val="minor"/>
      </rPr>
      <t xml:space="preserve"> ekv/km</t>
    </r>
  </si>
  <si>
    <t>Sõiduauto, keskmise suurusega (diisel)</t>
  </si>
  <si>
    <t>Sõiduauto (bio-CNG)</t>
  </si>
  <si>
    <t>Eeldus: keskmise sõiduauto gaasitarbimine on 0,057 kg/km ning kasutades sõiduauto bio-CNG eriheitetegurit kg kohta</t>
  </si>
  <si>
    <t>Sõiduauto (taastuvelekter)</t>
  </si>
  <si>
    <t xml:space="preserve">CoM 2017 </t>
  </si>
  <si>
    <t>Sõiduauto (tavaelekter)</t>
  </si>
  <si>
    <t>Keskmine elektritarbimine: 0,2 kWh/km (Electric Vehicle Database), elektrienergia segajäägi eriheitetegur</t>
  </si>
  <si>
    <t>Takso, keskmine</t>
  </si>
  <si>
    <t>Buss, kaugliin (Eesti ja rahvusvaheline)</t>
  </si>
  <si>
    <r>
      <t>kg CO</t>
    </r>
    <r>
      <rPr>
        <vertAlign val="subscript"/>
        <sz val="10"/>
        <color theme="1"/>
        <rFont val="Calibri"/>
        <family val="2"/>
        <scheme val="minor"/>
      </rPr>
      <t>2</t>
    </r>
    <r>
      <rPr>
        <sz val="10"/>
        <color theme="1"/>
        <rFont val="Calibri"/>
        <family val="2"/>
        <scheme val="minor"/>
      </rPr>
      <t xml:space="preserve"> ekv/sõitja-km</t>
    </r>
  </si>
  <si>
    <t>Buss, linnaliin (Eesti)</t>
  </si>
  <si>
    <t>Buss, linnaliin (Tallinn)</t>
  </si>
  <si>
    <t>Buss, maakonnaliin</t>
  </si>
  <si>
    <t>Rong, Eesti linnalähirong (elektrirong)</t>
  </si>
  <si>
    <t>Rong, Eesti-sisene kaugliin (diiselrong)</t>
  </si>
  <si>
    <t>Parvlaev, reisi-kaubalaev (nt Tallinn-Helsingi/Stockholm)</t>
  </si>
  <si>
    <t>UK Government GHG Conversion Factors for Company Reporting 2023, ferry, foot passenger</t>
  </si>
  <si>
    <t>UK Government GHG Conversion Factors for Company Reporting 2024, ferry, foot passenger</t>
  </si>
  <si>
    <t>UK Government GHG Conversion Factors for Company Reporting 2025, ferry, foot passenger</t>
  </si>
  <si>
    <t>UK Government GHG Conversion Factors for Company Reporting 2026, ferry, foot passenger</t>
  </si>
  <si>
    <t>UK Government GHG Conversion Factors for Company Reporting 2027, ferry, foot passenger</t>
  </si>
  <si>
    <t>UK Government GHG Conversion Factors for Company Reporting 2028, ferry, foot passenger</t>
  </si>
  <si>
    <t>Lennuk, Euroopa-sisene lend (kuni 3700 km), keskmine</t>
  </si>
  <si>
    <r>
      <t>kg CO</t>
    </r>
    <r>
      <rPr>
        <vertAlign val="subscript"/>
        <sz val="10"/>
        <rFont val="Cambria"/>
        <family val="1"/>
      </rPr>
      <t xml:space="preserve">2 </t>
    </r>
    <r>
      <rPr>
        <sz val="10"/>
        <rFont val="Cambria"/>
        <family val="1"/>
      </rPr>
      <t>ekv/sõitja-km</t>
    </r>
  </si>
  <si>
    <t>UK Government GHG Conversion Factors for Company Reporting 2023, short-haul, average passenger</t>
  </si>
  <si>
    <t>UK Government GHG Conversion Factors for Company Reporting 2024, short-haul, average passenger</t>
  </si>
  <si>
    <t>UK Government GHG Conversion Factors for Company Reporting 2025, short-haul, average passenger</t>
  </si>
  <si>
    <t>UK Government GHG Conversion Factors for Company Reporting 2026, short-haul, average passenger</t>
  </si>
  <si>
    <t>UK Government GHG Conversion Factors for Company Reporting 2027, short-haul, average passenger</t>
  </si>
  <si>
    <t>UK Government GHG Conversion Factors for Company Reporting 2028, short-haul, average passenger</t>
  </si>
  <si>
    <t>Tramm, troll (Eesti)</t>
  </si>
  <si>
    <t>kg CO2 ekv/km</t>
  </si>
  <si>
    <t>Elektrijalgratas/-tõukeratas (tavaelekter)</t>
  </si>
  <si>
    <t>Keskmine elektritarbimine: 0,0124 kWh/km (elektrijalgratta tootja ja elektritõukejalgratta tootja andmed), elektrienergia segajäägi eriheitetegur</t>
  </si>
  <si>
    <t>Elektrijalgratas/-tõukeratas, sh sõidujagamisplatvormidelt (taastuvelekter)</t>
  </si>
  <si>
    <t>Jalgsi liikumine</t>
  </si>
  <si>
    <t>‒</t>
  </si>
  <si>
    <t>M3 - Sisseostetud transporditeenus</t>
  </si>
  <si>
    <t>Kaubik (bensiin), km</t>
  </si>
  <si>
    <t>Kaubik (bensiin), tonn-km</t>
  </si>
  <si>
    <r>
      <t>kg CO</t>
    </r>
    <r>
      <rPr>
        <vertAlign val="subscript"/>
        <sz val="10"/>
        <color theme="1"/>
        <rFont val="Calibri"/>
        <family val="2"/>
        <scheme val="minor"/>
      </rPr>
      <t>2</t>
    </r>
    <r>
      <rPr>
        <sz val="10"/>
        <color theme="1"/>
        <rFont val="Calibri"/>
        <family val="2"/>
        <scheme val="minor"/>
      </rPr>
      <t xml:space="preserve"> ekv/tonn-km</t>
    </r>
  </si>
  <si>
    <t>Arvestuslik keskmine koormakaal 1,2 t (LIPASTO arvutusvalem)</t>
  </si>
  <si>
    <t>Kaubik (diisel), km</t>
  </si>
  <si>
    <t>Kaubik (diisel), tonn-km</t>
  </si>
  <si>
    <t>Kaubik (taastuvelekter), km</t>
  </si>
  <si>
    <t>Kaubik (taastuvelekter), tonn-km</t>
  </si>
  <si>
    <t>Kaubik (tavaelekter), km</t>
  </si>
  <si>
    <t>Elektrikaubikute keskmine elektritarbimine 0,25 kWh/km (Volkswagen e-Crafter), elektrienergia segajäägi eriheitetegur</t>
  </si>
  <si>
    <t>Kaubik (tavaelekter), tonn-km</t>
  </si>
  <si>
    <t>Elektrikaubikute keskmise elektritarbimise alusel, arvestuslik keskmine koormakaal 1,2 t</t>
  </si>
  <si>
    <t>Buss</t>
  </si>
  <si>
    <t>Väikebuss</t>
  </si>
  <si>
    <t>M3 - Vee- ja materjalikasutus</t>
  </si>
  <si>
    <t>Vesi ja paber</t>
  </si>
  <si>
    <r>
      <t>kg CO</t>
    </r>
    <r>
      <rPr>
        <vertAlign val="subscript"/>
        <sz val="10"/>
        <color theme="1"/>
        <rFont val="Calibri"/>
        <family val="2"/>
        <scheme val="minor"/>
      </rPr>
      <t>2</t>
    </r>
    <r>
      <rPr>
        <sz val="10"/>
        <color theme="1"/>
        <rFont val="Calibri"/>
        <family val="2"/>
        <scheme val="minor"/>
      </rPr>
      <t xml:space="preserve"> ekv/m</t>
    </r>
    <r>
      <rPr>
        <vertAlign val="superscript"/>
        <sz val="10"/>
        <color theme="1"/>
        <rFont val="Calibri"/>
        <family val="2"/>
        <scheme val="minor"/>
      </rPr>
      <t>3</t>
    </r>
  </si>
  <si>
    <r>
      <t>kg CO</t>
    </r>
    <r>
      <rPr>
        <vertAlign val="subscript"/>
        <sz val="10"/>
        <color theme="1"/>
        <rFont val="Calibri"/>
        <family val="2"/>
        <scheme val="minor"/>
      </rPr>
      <t>2</t>
    </r>
    <r>
      <rPr>
        <sz val="10"/>
        <color theme="1"/>
        <rFont val="Calibri"/>
        <family val="2"/>
        <scheme val="minor"/>
      </rPr>
      <t xml:space="preserve"> ekv/t</t>
    </r>
  </si>
  <si>
    <t>UK Government GHG Conversion Factors for Company Reporting 2023, paper and board: paper, closed-loop source</t>
  </si>
  <si>
    <t>UK Government GHG Conversion Factors for Company Reporting 2024, paper and board: paper, closed-loop source</t>
  </si>
  <si>
    <t>UK Government GHG Conversion Factors for Company Reporting 2026, paper and board: paper, closed-loop source</t>
  </si>
  <si>
    <t>UK Government GHG Conversion Factors for Company Reporting 2027, paper and board: paper, closed-loop source</t>
  </si>
  <si>
    <t>UK Government GHG Conversion Factors for Company Reporting 2028, paper and board: paper, closed-loop source</t>
  </si>
  <si>
    <t>M3 - Jäätmed</t>
  </si>
  <si>
    <t>Jäätmeliik</t>
  </si>
  <si>
    <t>Liigiti kogutud biojäätmed</t>
  </si>
  <si>
    <t>Liigiti kogutud klaaspakend</t>
  </si>
  <si>
    <t>Liigiti kogutud paber ja kartong</t>
  </si>
  <si>
    <t>Liigiti kogutud segapakend</t>
  </si>
  <si>
    <t>Segaolmejäätmed, prügilasse ladestamine</t>
  </si>
  <si>
    <t xml:space="preserve">Arvutatud olelusringi hindamise mudeliga WAMPS (sisaldab nii segaolmejäätmete kogumise kui ladestamisega seotud KHG heiteid) </t>
  </si>
  <si>
    <t>Segaolmejäätmed, põletamine</t>
  </si>
  <si>
    <t>M3 - Kodukontor</t>
  </si>
  <si>
    <t>Kodukontori elektritarbimine</t>
  </si>
  <si>
    <t>Väärtus</t>
  </si>
  <si>
    <t>Keskmine töökoha elektritarbimine (süle- või lauaarvuti, monitor, telefon ja printer)</t>
  </si>
  <si>
    <t>W</t>
  </si>
  <si>
    <t>EcoAct 2020, Homeworking emissions Whitepaper</t>
  </si>
  <si>
    <t>Valgustus</t>
  </si>
  <si>
    <t>Paberi kaal</t>
  </si>
  <si>
    <t>A0</t>
  </si>
  <si>
    <t>Kaugkütte võrgupiirkonna rippmenüü:</t>
  </si>
  <si>
    <t>Muu</t>
  </si>
  <si>
    <t>AS Tallinna Vesi andmed 2022</t>
  </si>
  <si>
    <t>Vesi (joogivee ja reovee puhastus)</t>
  </si>
  <si>
    <t>AS Tallinna Vesi andmed 2023</t>
  </si>
  <si>
    <t>AS Tallinna Vesi andmed 2024</t>
  </si>
  <si>
    <t>AS Tallinna Vesi andmed 2025</t>
  </si>
  <si>
    <t>AS Tallinna Vesi andmed 2026</t>
  </si>
  <si>
    <t>AS Tallinna Vesi andmed 2027</t>
  </si>
  <si>
    <t>AS Tallinna Vesi andmed 2028</t>
  </si>
  <si>
    <t>Hübriidauto</t>
  </si>
  <si>
    <t>Sõiduauto (maagaas CNG)</t>
  </si>
  <si>
    <t>Gaasiauto (biometaan)</t>
  </si>
  <si>
    <t>Gaasiauto (maagaas)</t>
  </si>
  <si>
    <t>Sõiduauto, keskmise suurusega (hübriid: bensiin/elekter - keskmine)</t>
  </si>
  <si>
    <t>ROHELISE MUUSEUMI KESKKONNAJALAJÄLJE ARVUTUSMUDEL</t>
  </si>
  <si>
    <t>Rohelise muuseumi keskkonnajalajälje arvutusmudel võimaldab mõõta ja hinnata peamisi muuseumitegevusega seotud keskkonnaaspekte (energia- ja materjalivood) ning eraldi muuseumitegevusega seotud KHG jalajälge (mõjuala 1, 2 ja 3 olulisemate heiteallikate/tegevuskategooriate kaupa).</t>
  </si>
  <si>
    <t>MUUSEUMI ÜLDANDMED</t>
  </si>
  <si>
    <r>
      <t>Muuseumi köetav üldpind (m</t>
    </r>
    <r>
      <rPr>
        <b/>
        <vertAlign val="superscript"/>
        <sz val="10"/>
        <color theme="1"/>
        <rFont val="Calibri"/>
        <family val="2"/>
        <scheme val="minor"/>
      </rPr>
      <t>2</t>
    </r>
    <r>
      <rPr>
        <b/>
        <sz val="10"/>
        <color theme="1"/>
        <rFont val="Calibri"/>
        <family val="2"/>
        <scheme val="minor"/>
      </rPr>
      <t>)</t>
    </r>
  </si>
  <si>
    <t>Elektritarbimine külastaja kohta (kWh/in)</t>
  </si>
  <si>
    <t>Külastajate arv</t>
  </si>
  <si>
    <t>ROHELISE MUUSEUMI KASVUHOONEGAASIDE JALAJÄLJE KOONDTULEMUS</t>
  </si>
  <si>
    <r>
      <t>KHG jalajälg külastaja kohta (t CO</t>
    </r>
    <r>
      <rPr>
        <b/>
        <vertAlign val="subscript"/>
        <sz val="10"/>
        <color theme="0"/>
        <rFont val="Calibri"/>
        <family val="2"/>
        <scheme val="minor"/>
      </rPr>
      <t>2</t>
    </r>
    <r>
      <rPr>
        <b/>
        <sz val="10"/>
        <color theme="0"/>
        <rFont val="Calibri"/>
        <family val="2"/>
        <scheme val="minor"/>
      </rPr>
      <t xml:space="preserve"> ekv/in)</t>
    </r>
  </si>
  <si>
    <r>
      <t xml:space="preserve">Muuseumi elektrienergia tarbimine on oluline keskkonnaaspekt, mida tuleks kõikide muuseumide puhul (juhul, kui see on võimalik) mõõta ja perioodiliselt seirata.
Elektrienergia tarbimise andmed (kWh) on üldjuhul kättesaadavad vastavatel arvetel või muudel raamatupidamisdokumentidel.
Kui on otsustatud arvesse võtta ka kodukontorite elektritarbimist, siis tuleks sisse viia vastav arvestussüsteem. Allolevas tabelis on selleks kasutatud EcoAct metoodikat (Homeworking emissions whitepaper 2020), mis arvestab keskmiseks kodutöökoha elektritarbimiseks 150 W (arvuti, telefon, printer, valgustus), korrutades selle keskmise töötundide arvuga kuus (160) ja kodukontorites täistööajale taandatud töötajate arvuga. Selline keskmistatud lähenemine lubab lihtsama vaevaga kodukontorite elektritarbimist arvutada.
KHG jalajälje arvutamiseks tuleb alloleva tabeli kahes viimases veerus </t>
    </r>
    <r>
      <rPr>
        <sz val="11"/>
        <rFont val="Calibri"/>
        <family val="2"/>
      </rPr>
      <t>'</t>
    </r>
    <r>
      <rPr>
        <i/>
        <sz val="11"/>
        <rFont val="Calibri"/>
        <family val="2"/>
        <scheme val="minor"/>
      </rPr>
      <t>KHG JALAJÄLJE ARVUTAMISE ANDMED</t>
    </r>
    <r>
      <rPr>
        <sz val="11"/>
        <rFont val="Calibri"/>
        <family val="2"/>
      </rPr>
      <t>'</t>
    </r>
    <r>
      <rPr>
        <i/>
        <sz val="11"/>
        <rFont val="Calibri"/>
        <family val="2"/>
        <scheme val="minor"/>
      </rPr>
      <t xml:space="preserve"> sisestada taastuv- ehk roheelektri osakaal (taastuvelektri osakaal protsendina aastas tarbitud elektrist, mis võib olla nii ise toodetud ja tarbitud, nt oma päikesepaneelidest toodetud elekter, kui ka teenusepakkujalt ostetud elekter). Kodukontorite puhul tuleks arvutada keskmine kodukontorites kasutatud taastuvelektri osakaal, mis eeldab kodukontoris töötavate inimeste küsitlemist, et nende taastuvenergia kasutamist arvestusaastal välja selgitada.
Tabeli kõrval kuvatakse elektrienergia tarbimise kuupõhised andmed joongraafikuna.</t>
    </r>
  </si>
  <si>
    <t>Elektrienergia tarbimine külastaja kohta (kWh/in)</t>
  </si>
  <si>
    <r>
      <t>Soojusenergia tarbimine muuseumi ruutmeetri kohta (kWh/m</t>
    </r>
    <r>
      <rPr>
        <vertAlign val="superscript"/>
        <sz val="10"/>
        <rFont val="Calibri"/>
        <family val="2"/>
      </rPr>
      <t>²</t>
    </r>
    <r>
      <rPr>
        <sz val="10"/>
        <rFont val="Calibri"/>
        <family val="2"/>
        <charset val="186"/>
        <scheme val="minor"/>
      </rPr>
      <t>)</t>
    </r>
  </si>
  <si>
    <t>Elektritarbimine muuseumis (kWh)</t>
  </si>
  <si>
    <t>Soojusenergia tarbimine muuseumis (kWh)</t>
  </si>
  <si>
    <r>
      <t>Veetarbimine muuseumis (m</t>
    </r>
    <r>
      <rPr>
        <vertAlign val="superscript"/>
        <sz val="10"/>
        <rFont val="Tahoma"/>
        <family val="2"/>
      </rPr>
      <t>³</t>
    </r>
    <r>
      <rPr>
        <sz val="10"/>
        <rFont val="Calibri"/>
        <family val="2"/>
        <scheme val="minor"/>
      </rPr>
      <t>)</t>
    </r>
  </si>
  <si>
    <r>
      <t>Veetarbimine külastaja kohta (m</t>
    </r>
    <r>
      <rPr>
        <vertAlign val="superscript"/>
        <sz val="10"/>
        <rFont val="Tahoma"/>
        <family val="2"/>
      </rPr>
      <t>³</t>
    </r>
    <r>
      <rPr>
        <sz val="10"/>
        <rFont val="Calibri"/>
        <family val="2"/>
        <charset val="186"/>
        <scheme val="minor"/>
      </rPr>
      <t>/in)</t>
    </r>
  </si>
  <si>
    <t>Olmejäätmete teke külastaja kohta (kg/in)</t>
  </si>
  <si>
    <t>TÖÖSÕIDUD MUUSEUMI OMA SÕIDUKITEGA</t>
  </si>
  <si>
    <t xml:space="preserve">Muuseumiga seotud KHG jalajälje arvutamiseks sisestage alltoodud tabelisse muuseumile kuuluvates või liisitud sõidukites tarbitud kütuse kogus aastas. Nende sõidukite kütuse tarbimisest tulenev KHG heide arvestatakse mõjuala 1 alla ning sõidukite elektri tarbimisest tulenev heide mõjuala 2 alla.
Eraldi on võimalik arvestada muuseumi oma sõidukitega tarbitud bensiini, diisli, biometaani, maagaasi, taastuvelektri ja tavaelektri kogust ning hinnata nende kütuste tarbimisega seotud KHG jalajälge. </t>
  </si>
  <si>
    <r>
      <rPr>
        <i/>
        <sz val="11"/>
        <rFont val="Calibri"/>
        <family val="2"/>
        <scheme val="minor"/>
      </rPr>
      <t>Fluoritud kasvuhoonegaaside ehk F-gaaside kasutamisest tuleneva KHG jalajälje arvutamiseks on vaja teada, kui palju muuseumi kliimaseadmetest aasta jooksul neid gaase atmosfääri lekib n-ö hajusheitmetena.
Üldjuhul saab seda hinnata igal aastal kliimaseadmetesse lisatavate F-gaaside koguse kaudu, mille kohta saab andmeid enamasti seadmete hooldusettevõttelt (või FOKA registrist).
Allolevas tabelis on veeru 'ANDMED' rippmenüüst võimalik valida enamlevinud F-gaaside tüübid. Veergu 'SÜSTEEMI VÕI SEADMESSE LISATUD (LEKKINUD) F-GAASI KOGUS' sisestada aastas seadmetesse/süsteemidesse täiendavalt lisatud F-gaasi kogus (mitte arvestada seadmete esmatäitmise või muid F-gaasi lisamise juhte, kui tegu pole nende gaaside kasutamisel tekkinud lekke kompenseerimisega).
Kui rippmenüüs teile vajalikke F-gaase ei ole, siis võib kasutada EKUKi kodulehel olevat F-gaaside CO</t>
    </r>
    <r>
      <rPr>
        <i/>
        <vertAlign val="subscript"/>
        <sz val="11"/>
        <rFont val="Calibri"/>
        <family val="2"/>
        <scheme val="minor"/>
      </rPr>
      <t>2</t>
    </r>
    <r>
      <rPr>
        <i/>
        <sz val="11"/>
        <rFont val="Calibri"/>
        <family val="2"/>
        <scheme val="minor"/>
      </rPr>
      <t xml:space="preserve"> ekvivalendi kalkulaatorit: 
</t>
    </r>
    <r>
      <rPr>
        <i/>
        <u/>
        <sz val="11"/>
        <color theme="10"/>
        <rFont val="Calibri"/>
        <family val="2"/>
        <scheme val="minor"/>
      </rPr>
      <t xml:space="preserve">https://klab.ee/f-gaasid/f-gaaside-co%e2%82%82-ekvivalendi-kalkulaator/ </t>
    </r>
    <r>
      <rPr>
        <i/>
        <sz val="11"/>
        <rFont val="Calibri"/>
        <family val="2"/>
        <scheme val="minor"/>
      </rPr>
      <t xml:space="preserve">ning sisestada tulemuse lehe </t>
    </r>
    <r>
      <rPr>
        <i/>
        <sz val="11"/>
        <rFont val="Calibri"/>
        <family val="2"/>
      </rPr>
      <t>'</t>
    </r>
    <r>
      <rPr>
        <i/>
        <sz val="11"/>
        <rFont val="Calibri"/>
        <family val="2"/>
        <scheme val="minor"/>
      </rPr>
      <t>KHG JALAJÄLG KOOND' reale 'Hajusheitmed kliimaseadmetest' vastava aasta lahtrisse.</t>
    </r>
  </si>
  <si>
    <r>
      <t>Muuseumi töötajate tööreisid võivad moodustada olulise osa muuseumiga seotud KHG heitest.
Tööreisidest/lähetustest tuleneva KHG jalajälje hindamiseks sisestage siia lehele aasta jooksul tööreisidel sõidukitega läbitud vahemaa. Autode puhul on võimalik eraldi arvestada bensiini-, diisli-, gaasi-, hübriid- või elektriautodega läbitud vahemaa. Elektriautode puhul märkida, kas laadimiseks kasutati tavaelektrit või taastuvat elektrit. Andmete sisestamine (tööreisideks kasutatavate sõidukite ja läbitud vahemaade igaaastased koondandmed) eeldab, et organisatsioon peab eraldi arvestust selliste andmete kogumiseks oma töötajate tööreiside/lähetuste dokumenteerimisel. Kui sellist süsteemi ei ole, siis tuleks see muuseumis esmalt sisse viia.
Ühissõidukite puhul on vaja sisestada vastava sõidukiliigiga läbitud sõitjakilomeetrid (üks sõitjakilomeeter (sõitja-km) on ühe sõitja vedamine ühe kilomeetri kaugusele). 
Kui soovite tööreisidest tuleneva KHG heitkoguse ise välja arvutada (nt kui teil on tööreiside KHG jalajälje arvutamise süsteem juba eraldi olemas), siis sisestage vastava sõidukiliigi kasutamisest tulenev KHG heide (tonni CO</t>
    </r>
    <r>
      <rPr>
        <i/>
        <vertAlign val="subscript"/>
        <sz val="11"/>
        <rFont val="Calibri"/>
        <family val="2"/>
        <scheme val="minor"/>
      </rPr>
      <t>2</t>
    </r>
    <r>
      <rPr>
        <i/>
        <sz val="11"/>
        <rFont val="Calibri"/>
        <family val="2"/>
        <scheme val="minor"/>
      </rPr>
      <t xml:space="preserve"> ekvivalenti) veergu </t>
    </r>
    <r>
      <rPr>
        <sz val="11"/>
        <rFont val="Calibri"/>
        <family val="2"/>
      </rPr>
      <t>'</t>
    </r>
    <r>
      <rPr>
        <i/>
        <sz val="11"/>
        <rFont val="Calibri"/>
        <family val="2"/>
        <scheme val="minor"/>
      </rPr>
      <t xml:space="preserve">KHG HEITKOGUS (ise välja arvutatuna)'. </t>
    </r>
  </si>
  <si>
    <r>
      <t xml:space="preserve">Siia lehele saab sisestada aasta jooksul tehtud tööle-koju sõidud sõidukitega, mis ei kuulu muuseumile. Ka siin tuleks sisse viia perioodiline töötajate tööle-koju liikumise arvestuse süsteem, mis lubaks vähemalt üldistatud kujul saada andmeid, kuidas ja milliste sõiduvahenditega töötajad tööl käivad. Sõitude kohta on kõige lihtsam saada andmeid töötajate küsitluse kaudu (sh küsida, kui pikk on keskmiselt töötaja tööle ja tagasi koju liikumise vahemaa ning kuidas/milliseid sõiduvahendeid töötaja tööle-koju liikumisel aasta jooksul kasutab). Saadud andmed – töötajate arvestusaastal läbitud vahemaa kokku sõiduvahendite kaupa – tuleb sisestada alloleva tabeli veergu </t>
    </r>
    <r>
      <rPr>
        <i/>
        <sz val="11"/>
        <rFont val="Calibri"/>
        <family val="2"/>
      </rPr>
      <t xml:space="preserve">'TÖÖTAJATE </t>
    </r>
    <r>
      <rPr>
        <i/>
        <sz val="11"/>
        <rFont val="Calibri"/>
        <family val="2"/>
        <scheme val="minor"/>
      </rPr>
      <t>LÄBITUD VAHEMAA KOKKU (km)'.</t>
    </r>
  </si>
  <si>
    <r>
      <rPr>
        <i/>
        <sz val="11"/>
        <rFont val="Calibri"/>
        <family val="2"/>
        <scheme val="minor"/>
      </rPr>
      <t>Siin lehel võetakse kokku nii muuseumi energiatarbimisest, transpordist, hajusheitmetest, vee- ja paberikasutusest kui ka olmejäätmetest tulenev KHG jalajälg. Tulemused on esitatud mõjualade kaupa (vt mõjualade jaotamise metoodilist selgitust:
(</t>
    </r>
    <r>
      <rPr>
        <i/>
        <u/>
        <sz val="11"/>
        <color theme="10"/>
        <rFont val="Calibri"/>
        <family val="2"/>
        <scheme val="minor"/>
      </rPr>
      <t>https://kliimaministeerium.ee/organisatsioonide-khg-jalajalg</t>
    </r>
    <r>
      <rPr>
        <i/>
        <sz val="11"/>
        <rFont val="Calibri"/>
        <family val="2"/>
        <scheme val="minor"/>
      </rPr>
      <t>)
Tabeli kõige alumises reas tuuakse välja muuseumi KHG jalajälg arvestatuna ühe külastaja kohta.</t>
    </r>
  </si>
  <si>
    <t>Muuseumitöötajate arv kokku ‒ nii muuseumis kohapeal kui ka kodukontoris töötavad inimesed (taandatud täistööajale)</t>
  </si>
  <si>
    <r>
      <t>Veetarbimine külastaja kohta (m</t>
    </r>
    <r>
      <rPr>
        <vertAlign val="superscript"/>
        <sz val="10"/>
        <color theme="1"/>
        <rFont val="Calibri"/>
        <family val="2"/>
        <scheme val="minor"/>
      </rPr>
      <t>3</t>
    </r>
    <r>
      <rPr>
        <sz val="10"/>
        <color theme="1"/>
        <rFont val="Calibri"/>
        <family val="2"/>
        <scheme val="minor"/>
      </rPr>
      <t>/in)</t>
    </r>
  </si>
  <si>
    <t>Veetarbimine muuseumis (m³)</t>
  </si>
  <si>
    <t>Töösõidud muuseumi sõidukitega</t>
  </si>
  <si>
    <t>Muuseumi sõidukite kütusetarbimise KHG heitkogus kokku</t>
  </si>
  <si>
    <t>Muuseumi sõidukite elektritarbimise KHG heitkogus kokku</t>
  </si>
  <si>
    <t>Muuseumi sõidukite kütusetarbimine</t>
  </si>
  <si>
    <t xml:space="preserve">Muuseumi elektrienergia tarbimine </t>
  </si>
  <si>
    <t xml:space="preserve">Muuseumi soojusenergia tarbimine </t>
  </si>
  <si>
    <t>Muuseumi sõidukite elektritarbimine</t>
  </si>
  <si>
    <t>Muuseumi sõidukite kütus</t>
  </si>
  <si>
    <t>Muuseumi elekter</t>
  </si>
  <si>
    <t>Muuseumi küte</t>
  </si>
  <si>
    <t>Muuseumi elektriautod</t>
  </si>
  <si>
    <t>Oma keskküttekatla kütuseliigi rippmenüü:</t>
  </si>
  <si>
    <r>
      <t xml:space="preserve">Siia töölehele sisestage muuseumi keskkonnajalajälje arvutamiseks vajalikud üldandmed:
</t>
    </r>
    <r>
      <rPr>
        <b/>
        <i/>
        <sz val="11"/>
        <rFont val="Calibri"/>
        <family val="2"/>
        <scheme val="minor"/>
      </rPr>
      <t>Muuseumitöötajate arv kokku</t>
    </r>
    <r>
      <rPr>
        <i/>
        <sz val="11"/>
        <rFont val="Calibri"/>
        <family val="2"/>
        <scheme val="minor"/>
      </rPr>
      <t xml:space="preserve"> </t>
    </r>
    <r>
      <rPr>
        <sz val="11"/>
        <rFont val="Calibri"/>
        <family val="2"/>
      </rPr>
      <t>‒</t>
    </r>
    <r>
      <rPr>
        <i/>
        <sz val="11"/>
        <rFont val="Calibri"/>
        <family val="2"/>
        <scheme val="minor"/>
      </rPr>
      <t xml:space="preserve"> siia alla peaks arvestama kõik muuseumis töötavad inimesed (nii need, kes valdavalt töötavad muuseumis kohapeal kui ka need, kes töötavad kodukontoris, sh osaliselt kodukontoris töötavad inimesed). Muuseumitöötajate arv kokku tuleks määratleda täistööaja arvestusega (nt kui kaks inimest töötavad poole tööajaga, siis see teeb kokku arvestuslikult ühe täistööajaga inimese).
</t>
    </r>
    <r>
      <rPr>
        <b/>
        <i/>
        <sz val="11"/>
        <rFont val="Calibri"/>
        <family val="2"/>
        <scheme val="minor"/>
      </rPr>
      <t xml:space="preserve">Külastajate arv aastas </t>
    </r>
    <r>
      <rPr>
        <i/>
        <sz val="11"/>
        <rFont val="Calibri"/>
        <family val="2"/>
        <scheme val="minor"/>
      </rPr>
      <t xml:space="preserve">‒ suhtelise kasvuhoonegaaside jalajälje suuruse arvutamiseks külastaja kohta.
</t>
    </r>
    <r>
      <rPr>
        <b/>
        <i/>
        <sz val="11"/>
        <rFont val="Calibri"/>
        <family val="2"/>
        <scheme val="minor"/>
      </rPr>
      <t>Muuseumi köetav üldpind</t>
    </r>
    <r>
      <rPr>
        <i/>
        <sz val="11"/>
        <rFont val="Calibri"/>
        <family val="2"/>
        <scheme val="minor"/>
      </rPr>
      <t xml:space="preserve"> ‒ vajalik soojusenergia (küte) suhtelise näitaja arvutamiseks (muuseumi aastane soojusenergia tarbimine m</t>
    </r>
    <r>
      <rPr>
        <i/>
        <vertAlign val="superscript"/>
        <sz val="11"/>
        <rFont val="Calibri"/>
        <family val="2"/>
        <scheme val="minor"/>
      </rPr>
      <t>2</t>
    </r>
    <r>
      <rPr>
        <i/>
        <sz val="11"/>
        <rFont val="Calibri"/>
        <family val="2"/>
        <scheme val="minor"/>
      </rPr>
      <t xml:space="preserve"> kohta). Muuseumi üldpinna sisse ei arvestata kodukontorite pindala.</t>
    </r>
  </si>
  <si>
    <r>
      <rPr>
        <sz val="11"/>
        <rFont val="Calibri"/>
        <family val="2"/>
        <scheme val="minor"/>
      </rPr>
      <t>Käesolev mudel pakub raamistiku muuseumidele oma keskkonnajalajälje, sh kasvuhoonegaaside (KHG) jalajälje arvutamiseks ja seireks. Mudel on eelkõige mõeldud hoone ja üldise muuseumitööga seotud olulisemate keskkonnaaspektide/-mõjude (energiakasutus, veetarbimine, paberikasutus, jäätmeteke) mõõtmiseks ja aastapõhiseks KHG jalajälje hindamiseks, mis pakub aluse keskkonnaeesmärkide püstitamiseks ja oma keskkonnategevuse tulemuslikkuse järjepidevaks mõõtmiseks. Arvutusmudelit võib kasutada keskkonnajalajälje hindamise abivahendina rohelise muuseumi kontrollküsimustikus esitatud kriteeriumide täitmiseks.
Lisaks saavad muuseumid oma näituste ja seotud teenuste (nt trükised) jalajälge hinnata Eesti Kunstimuuseumi tellitud kestliku näituse mudeliga (</t>
    </r>
    <r>
      <rPr>
        <u/>
        <sz val="11"/>
        <color theme="10"/>
        <rFont val="Calibri"/>
        <family val="2"/>
        <scheme val="minor"/>
      </rPr>
      <t>https://kestliknaitus.ekm.ee/</t>
    </r>
    <r>
      <rPr>
        <sz val="11"/>
        <rFont val="Calibri"/>
        <family val="2"/>
        <scheme val="minor"/>
      </rPr>
      <t>). Seega need kaks mudelit täiendavad teineteist.</t>
    </r>
    <r>
      <rPr>
        <u/>
        <sz val="11"/>
        <color theme="10"/>
        <rFont val="Calibri"/>
        <family val="2"/>
        <scheme val="minor"/>
      </rPr>
      <t xml:space="preserve">
</t>
    </r>
    <r>
      <rPr>
        <sz val="11"/>
        <rFont val="Calibri"/>
        <family val="2"/>
        <scheme val="minor"/>
      </rPr>
      <t>Rohelise muuseumi keskkonnajalajälje arvutusmudeli valmimist rahastasid ICOM Eesti Rahvuskomitee ja Eesti Kultuurkapital.</t>
    </r>
  </si>
  <si>
    <r>
      <t>Veetarbimine on muuseumides mõnevõrra väiksema keskkonnamõjuga keskkonnaaspekt kui elektri tarbimine või küte, kuid siiski tuleks rohelise muuseumi puhul ka kasutatud vee kogust (juhul kui see on võimalik) mõõta ja perioodiliselt seirata. Ka veetarbimise andmed (m</t>
    </r>
    <r>
      <rPr>
        <i/>
        <vertAlign val="superscript"/>
        <sz val="11"/>
        <rFont val="Calibri"/>
        <family val="2"/>
        <scheme val="minor"/>
      </rPr>
      <t>3</t>
    </r>
    <r>
      <rPr>
        <i/>
        <sz val="11"/>
        <rFont val="Calibri"/>
        <family val="2"/>
        <scheme val="minor"/>
      </rPr>
      <t>) on üldjuhul kättesaadavad vastavatel arvetel või muudel raamatupidamisdokumentidel.
Veetarbimise andmed (m</t>
    </r>
    <r>
      <rPr>
        <i/>
        <vertAlign val="superscript"/>
        <sz val="11"/>
        <rFont val="Calibri"/>
        <family val="2"/>
        <scheme val="minor"/>
      </rPr>
      <t>3</t>
    </r>
    <r>
      <rPr>
        <i/>
        <sz val="11"/>
        <rFont val="Calibri"/>
        <family val="2"/>
        <scheme val="minor"/>
      </rPr>
      <t xml:space="preserve">) tuleks sisestada kuude kaupa allolevasse tabelisse. 
Kuna kodukontorites tarbitav veekogus on suhteliselt väike (sh on väike kodukontorite veetarbimise KHG jalajälg), siis käesolevas arvutusmudelis kodukontorite veetarbimist arvestusse ei kaasata. 
Veetarbimisest (sh reovee puhastamisest) tuleneva KHG jalajälje hindamiseks pole lisaandmeid vaja sisestada ja jalajälg arvutatakse automaatselt siin töölehel sisestatud tarbimiskoguse põhjal lehel </t>
    </r>
    <r>
      <rPr>
        <sz val="11"/>
        <rFont val="Calibri"/>
        <family val="2"/>
      </rPr>
      <t>'</t>
    </r>
    <r>
      <rPr>
        <i/>
        <sz val="11"/>
        <rFont val="Calibri"/>
        <family val="2"/>
      </rPr>
      <t>KHG JALAJÄLG KOOND</t>
    </r>
    <r>
      <rPr>
        <sz val="11"/>
        <rFont val="Calibri"/>
        <family val="2"/>
      </rPr>
      <t>'</t>
    </r>
    <r>
      <rPr>
        <i/>
        <sz val="11"/>
        <rFont val="Calibri"/>
        <family val="2"/>
        <scheme val="minor"/>
      </rPr>
      <t>.
Tabeli kõrval kuvatakse veekasutuse kuupõhised andmed joongraafikuna.</t>
    </r>
  </si>
  <si>
    <r>
      <t>Muuseumis tekkivate olmejäätmete kogus ja liigiti kogumise määr on oluline keskkonnaaspekt, mida tuleks rohelise muuseumi puhul mõõta ja perioodiliselt (kuupõhiselt) seirata. Jäätmete tekkekoguse teadasaamiseks on üldjuhul kaks võimalust.
1. Kui muuseumihoonel on oma jäätmekonteinerid, siis saab tekkinud olmejäätmete kogust kaudselt hinnata konteinerite mahu ja tühjendamise sageduse põhjal. Allolevasse tabelisse tuleks sisestada tekkinud segaolmejäätmete ja liigiti kogutud jäätmete maht (m</t>
    </r>
    <r>
      <rPr>
        <i/>
        <vertAlign val="superscript"/>
        <sz val="11"/>
        <color theme="1"/>
        <rFont val="Calibri"/>
        <family val="2"/>
        <scheme val="minor"/>
      </rPr>
      <t>3</t>
    </r>
    <r>
      <rPr>
        <i/>
        <sz val="11"/>
        <color theme="1"/>
        <rFont val="Calibri"/>
        <family val="2"/>
        <scheme val="minor"/>
      </rPr>
      <t xml:space="preserve">) kuus </t>
    </r>
    <r>
      <rPr>
        <sz val="11"/>
        <color theme="1"/>
        <rFont val="Calibri"/>
        <family val="2"/>
      </rPr>
      <t>‒</t>
    </r>
    <r>
      <rPr>
        <i/>
        <sz val="11"/>
        <color theme="1"/>
        <rFont val="Calibri"/>
        <family val="2"/>
        <scheme val="minor"/>
      </rPr>
      <t xml:space="preserve"> need andmed saab arvetelt. Tabelis teisendatakse maht massikaaluks (kg), kasutades järgmisi jäätmeliikide mahu ja massi teisendamise koefitsiente: </t>
    </r>
  </si>
  <si>
    <r>
      <t>Muuseumi soojusenergia ehk kütte tarbimine on oluline keskkonnaaspekt, mida tuleks samuti kõikide muuseumide puhul (juhul kui see on võimalik) mõõta ja perioodiliselt seirata. 
Soojusenergia tarbimise andmed (kWh) on üldjuhul kättesaadavad vastavatel arvetel või muudel raamatupidamisdokumentidel. Vajadusel võib neid andmeid küsida hoone haldajalt/rendileandjalt (kaudselt saab soojusenergia kasutamist arvestada muuseumi ruutmeetrite ja kogu hoone küttekulu põhjal). Soojusenergia/kütte tarbimise arvestust peetakse muuseumi köetava pinna kohta (kWh/m</t>
    </r>
    <r>
      <rPr>
        <i/>
        <vertAlign val="superscript"/>
        <sz val="11"/>
        <rFont val="Calibri"/>
        <family val="2"/>
        <scheme val="minor"/>
      </rPr>
      <t>2</t>
    </r>
    <r>
      <rPr>
        <i/>
        <sz val="11"/>
        <rFont val="Calibri"/>
        <family val="2"/>
        <scheme val="minor"/>
      </rPr>
      <t xml:space="preserve">).
Kui on soov arvutada soojusenergia/kütte tarbimisega seotud KHG jalajäljge, siis tuleb tabeli viimastes veergudes </t>
    </r>
    <r>
      <rPr>
        <sz val="11"/>
        <rFont val="Calibri"/>
        <family val="2"/>
      </rPr>
      <t>'</t>
    </r>
    <r>
      <rPr>
        <i/>
        <sz val="11"/>
        <rFont val="Calibri"/>
        <family val="2"/>
        <scheme val="minor"/>
      </rPr>
      <t>KHG JALAJÄLJE ARVUTAMISE ANDMED</t>
    </r>
    <r>
      <rPr>
        <sz val="11"/>
        <rFont val="Calibri"/>
        <family val="2"/>
      </rPr>
      <t>'</t>
    </r>
    <r>
      <rPr>
        <i/>
        <sz val="11"/>
        <rFont val="Calibri"/>
        <family val="2"/>
        <scheme val="minor"/>
      </rPr>
      <t xml:space="preserve"> valida rippmenüüst kaugkütte võrgupiirkond (juhul kui muuseumihoone kasutab kaugkütet) või oma keskküttekatlas/katlamajas kasutatav põhiline kütuseliik.
Tallinna, Tartu ja Pärnu võrgupiirkonnas asuvate muuseumide puhul (AS Utilitase ja AS Greni kliendid) on mudelisse vastava linna võrgupiirkonna CO</t>
    </r>
    <r>
      <rPr>
        <i/>
        <vertAlign val="subscript"/>
        <sz val="11"/>
        <rFont val="Calibri"/>
        <family val="2"/>
        <scheme val="minor"/>
      </rPr>
      <t>2</t>
    </r>
    <r>
      <rPr>
        <i/>
        <sz val="11"/>
        <rFont val="Calibri"/>
        <family val="2"/>
        <scheme val="minor"/>
      </rPr>
      <t xml:space="preserve"> eriheitetegur 2022. ja 2023. aasta kohta sisestatud. NB! 2024. aasta ja järgmiste aastate kaugkütte eriheitetegurid Tallinnas, Tartus ja Pärnus lisada ise töölehel 'KHG eriheitetegurid' asuvasse tabelisse. Muudes piirkondades asuvate muuseumide puhul tuleks kaugkütte eriheitetegur (kg CO</t>
    </r>
    <r>
      <rPr>
        <i/>
        <vertAlign val="subscript"/>
        <sz val="11"/>
        <rFont val="Calibri"/>
        <family val="2"/>
        <scheme val="minor"/>
      </rPr>
      <t>2</t>
    </r>
    <r>
      <rPr>
        <i/>
        <sz val="11"/>
        <rFont val="Calibri"/>
        <family val="2"/>
        <scheme val="minor"/>
      </rPr>
      <t xml:space="preserve"> ekv/kWh) küsida kaugkütte teenusepakkujalt (energiatarnijalt), juhul kui seda pole arvelt, iseteenindusest või kodulehelt võimalik saada, ja sisestada see alloleva tabeli veergu 'Kaugkütte võrgupiirkonna eriheitetegur'. 
Kui muuseumil on elektriküte ja te ei pea eraldi kütteks kuluva elektri arvestust, siis kajastub kogu elektri tarbimine töölehel 'ELEKTER'. 
Kuna üldjuhul kodukontorite küttekulu suuresti ei sõltu sellest, kas inimene töötab kodus või töökoha kontoris, siis kodukontorite puhul pole vaja eraldi soojuse tarbimise arvestust pidada ja sellega seotud KHG jalajälge hinnata.
Tabeli kõrval kuvatakse soojusenergia tarbimise kuupõhised andmed joongraafikuna.</t>
    </r>
  </si>
  <si>
    <t>Sisestage ise vastava aasta segajäägi eriheitetegur, mis avaldatakse iga aasta juunis eelmise aasta kohta lehel https://elering.ee/segajaak</t>
  </si>
  <si>
    <t>Kontoripaber</t>
  </si>
  <si>
    <t>KHG inventuuri aruanne 2024, arvestuslik katla kasutegur 90%</t>
  </si>
  <si>
    <t>KHG inventuuri aruanne 2028</t>
  </si>
  <si>
    <t>KHG inventuuri aruanne 2023, arvestuslik katla kasutegur 90%</t>
  </si>
  <si>
    <t>KHG inventuuri aruanne 2025</t>
  </si>
  <si>
    <t>KHG inventuuri aruanne 2026</t>
  </si>
  <si>
    <t>KHG inventuuri aruanne 2027</t>
  </si>
  <si>
    <t>KHG inventuuri aruanne 2024</t>
  </si>
  <si>
    <t>KHG inventuuri aruanne 2023, kütteväärtus ~31,82 MJ/l</t>
  </si>
  <si>
    <t>KHG inventuuri aruanne 2023, kütteväärtus 49 MJ/kg</t>
  </si>
  <si>
    <t>KHG inventuuri aruanne 2023, kütteväärtus ~35,69 MJ/l</t>
  </si>
  <si>
    <t>KHG inventuuri aruanne 2023</t>
  </si>
  <si>
    <t>Bensiini- ja diiselmootoriga sõiduautode keskmine eriheitetegur, KHG inventuuri aruanne 2023</t>
  </si>
  <si>
    <t>Bensiini- ja diiselmootoriga sõiduautode keskmine eriheitetegur, KHG inventuuri aruanne 2024</t>
  </si>
  <si>
    <t>Bensiini- ja diiselmootoriga sõiduautode keskmine eriheitetegur, KHG inventuuri aruanne 2025</t>
  </si>
  <si>
    <t>Bensiini- ja diiselmootoriga sõiduautode keskmine eriheitetegur, KHG inventuuri aruanne 2026</t>
  </si>
  <si>
    <t>Bensiini- ja diiselmootoriga sõiduautode keskmine eriheitetegur, KHG inventuuri aruanne 2027</t>
  </si>
  <si>
    <t>Bensiini- ja diiselmootoriga sõiduautode keskmine eriheitetegur, KHG inventuuri aruanne 2028</t>
  </si>
  <si>
    <t>Bensiini- ja diiselmootoriga sõiduautode keskmine eriheitetegur, KHG inventuuri aruanne 2029</t>
  </si>
  <si>
    <t>Statistikaameti andmed 2022, KHG inventuuri aruanne 2023 (diiselbussi eriheitetegur)</t>
  </si>
  <si>
    <t>Statistikaameti andmed 2023, KHG inventuuri aruanne 2024 (diiselbussi eriheitetegur)</t>
  </si>
  <si>
    <t>Statistikaameti andmed 2024, KHG inventuuri aruanne 2025 (diiselbussi eriheitetegur)</t>
  </si>
  <si>
    <t>Statistikaameti andmed 2025, KHG inventuuri aruanne 2026 (diiselbussi eriheitetegur)</t>
  </si>
  <si>
    <t>Statistikaameti andmed 2026, KHG inventuuri aruanne 2027 (diiselbussi eriheitetegur)</t>
  </si>
  <si>
    <t>Statistikaameti andmed 2027, KHG inventuuri aruanne 2028 (diiselbussi eriheitetegur)</t>
  </si>
  <si>
    <t>Statistikaameti andmed 2022, KHG inventuuri aruanne 2023 (diisel- ja CNG-busside eriheitetegurid)</t>
  </si>
  <si>
    <t>Statistikaameti andmed 2023, KHG inventuuri aruanne 2024 (diisel- ja CNG-busside eriheitetegurid)</t>
  </si>
  <si>
    <t>Statistikaameti andmed 2024, KHG inventuuri aruanne 2025 (diisel- ja CNG-busside eriheitetegurid)</t>
  </si>
  <si>
    <t>Statistikaameti andmed 2025, KHG inventuuri aruanne 2026 (diisel- ja CNG-busside eriheitetegurid)</t>
  </si>
  <si>
    <t>Statistikaameti andmed 2026, KHG inventuuri aruanne 2027 (diisel- ja CNG-busside eriheitetegurid)</t>
  </si>
  <si>
    <t>Statistikaameti andmed 2027, KHG inventuuri aruanne 2028 (diisel- ja CNG-busside eriheitetegurid)</t>
  </si>
  <si>
    <t>AS TLT Tallinna linnaliinibusside andmed 2022 (diisel- ja gaasibusside keskmine), KHG inventuuri aruanne 2023 (diisel-, CNG- ja bio-CNG-busside eriheitetegurid)</t>
  </si>
  <si>
    <t>AS TLT Tallinna linnaliinibusside andmed 2023 (diisel- ja gaasibusside keskmine), KHG inventuuri aruanne 2024 (diisel-, CNG- ja bio-CNG-busside eriheitetegurid)</t>
  </si>
  <si>
    <t>AS TLT Tallinna linnaliinibusside andmed 2024 (diisel- ja gaasibusside keskmine), KHG inventuuri aruanne 2025 (diisel-, CNG- ja bio-CNG-busside eriheitetegurid)</t>
  </si>
  <si>
    <t>AS TLT Tallinna linnaliinibusside andmed 2025 (diisel- ja gaasibusside keskmine), KHG inventuuri aruanne 2026 (diisel-, CNG- ja bio-CNG-busside eriheitetegurid)</t>
  </si>
  <si>
    <t>AS TLT Tallinna linnaliinibusside andmed 2026 (diisel- ja gaasibusside keskmine), KHG inventuuri aruanne 2027 (diisel-, CNG- ja bio-CNG-busside eriheitetegurid)</t>
  </si>
  <si>
    <t>AS TLT Tallinna linnaliinibusside andmed 2027 (diisel- ja gaasibusside keskmine), KHG inventuuri aruanne 2028 (diisel-, CNG- ja bio-CNG-busside eriheitetegurid)</t>
  </si>
  <si>
    <t>AS Elroni andmed 2022, KHG inventuuri aruanne 2023 (rongidiisli eriheitetegur)</t>
  </si>
  <si>
    <t>AS Elroni andmed 2023, KHG inventuuri aruanne 2024 (rongidiisli eriheitetegur)</t>
  </si>
  <si>
    <t>AS Elroni andmed 2024, KHG inventuuri aruanne 2025 (rongidiisli eriheitetegur)</t>
  </si>
  <si>
    <t>AS Elroni andmed 2025, KHG inventuuri aruanne 2026 (rongidiisli eriheitetegur)</t>
  </si>
  <si>
    <t>AS Elroni andmed 2026, KHG inventuuri aruanne 2027 (rongidiisli eriheitetegur)</t>
  </si>
  <si>
    <t>AS Elroni andmed 2027, KHG inventuuri aruanne 2028 (rongidiisli eriheitetegur)</t>
  </si>
  <si>
    <t>Bussiteenuse pakkujad (keskmine kütusekulu l/km, maakondlik liin), KHG inventuuri aruanne 2023 (diiselbussi eriheitetegur)</t>
  </si>
  <si>
    <t>Bussiteenuse pakkujad (keskmine kütusekulu l/km, maakondlik liin), KHG inventuuri aruanne 2024 (diiselbussi eriheitetegur)</t>
  </si>
  <si>
    <t>Bussiteenuse pakkujad (keskmine kütusekulu l/km, maakondlik liin), KHG inventuuri aruanne 2025 (diiselbussi eriheitetegur)</t>
  </si>
  <si>
    <t>Bussiteenuse pakkujad (keskmine kütusekulu l/km, maakondlik liin), KHG inventuuri aruanne 2026 (diiselbussi eriheitetegur)</t>
  </si>
  <si>
    <t>Bussiteenuse pakkujad (keskmine kütusekulu l/km, maakondlik liin), KHG inventuuri aruanne 2027 (diiselbussi eriheitetegur)</t>
  </si>
  <si>
    <t>Bussiteenuse pakkujad (keskmine kütusekulu l/km, maakondlik liin), KHG inventuuri aruanne 2028 (diiselbussi eriheitetegur)</t>
  </si>
  <si>
    <t>KHG inventuuri aruanne 2023, kaubiku bensiini ja diisli kaalutud keskmine eriheitetegur km kohta</t>
  </si>
  <si>
    <t>KHG inventuuri aruanne 2024, kaubiku bensiini ja diisli kaalutud keskmine eriheitetegur km kohta</t>
  </si>
  <si>
    <t>KHG inventuuri aruanne 2025, kaubiku bensiini ja diisli kaalutud keskmine eriheitetegur km kohta</t>
  </si>
  <si>
    <t>KHG inventuuri aruanne 2026, kaubiku bensiini ja diisli kaalutud keskmine eriheitetegur km kohta</t>
  </si>
  <si>
    <t>KHG inventuuri aruanne 2027, kaubiku bensiini ja diisli kaalutud keskmine eriheitetegur km kohta</t>
  </si>
  <si>
    <t>KHG inventuuri aruanne 2028, kaubiku bensiini ja diisli kaalutud keskmine eriheitetegur km kohta</t>
  </si>
  <si>
    <t>Eeldused: jäätmeveoki kütusekulu 0,39 l/km, kogumisringi pikkus keskmiselt 250 km, keskmine koorma kaal 9 t, raskeveoki (diisel) eriheitetegur - KHG inventuuri aruanne 2023</t>
  </si>
  <si>
    <t>TalTech, SEI Tallinn 2019, raskeveoki (diisel) eriheitetegur - KHG inventuuri aruanne 2023</t>
  </si>
  <si>
    <t>Kerge kütteõli</t>
  </si>
  <si>
    <t>Põlevkiviõli raske fraktsioon</t>
  </si>
  <si>
    <t>KHG inventuuri aruanne 2024, kütteväärtus ~31,82 MJ/l</t>
  </si>
  <si>
    <t>KHG inventuuri aruanne 2024, kütteväärtus 49 MJ/kg</t>
  </si>
  <si>
    <t>KHG inventuuri aruanne 2024, kütteväärtus ~35,69 MJ/l</t>
  </si>
  <si>
    <t>Ostetud lehträtikuid (lehti)</t>
  </si>
  <si>
    <t>Ostetud tualettpaberit (m)</t>
  </si>
  <si>
    <t>Lehträtik</t>
  </si>
  <si>
    <r>
      <t>kg CO</t>
    </r>
    <r>
      <rPr>
        <vertAlign val="subscript"/>
        <sz val="10"/>
        <color theme="1"/>
        <rFont val="Calibri"/>
        <family val="2"/>
        <scheme val="minor"/>
      </rPr>
      <t>2</t>
    </r>
    <r>
      <rPr>
        <sz val="10"/>
        <color theme="1"/>
        <rFont val="Calibri"/>
        <family val="2"/>
        <scheme val="minor"/>
      </rPr>
      <t xml:space="preserve"> ekv/leht</t>
    </r>
  </si>
  <si>
    <t>Toodete 344471 Katrin Classic Hand Towel (https://www.katrinsolutions.com/baltic/consumption_calculator) ja H2 Tork Xpress® Multifold (https://www.tork.com.ee/product/471103/taide/paberratik) keskmine eriheitetegur</t>
  </si>
  <si>
    <t>Tualettpaber</t>
  </si>
  <si>
    <r>
      <t>kg CO</t>
    </r>
    <r>
      <rPr>
        <vertAlign val="subscript"/>
        <sz val="10"/>
        <color theme="1"/>
        <rFont val="Calibri"/>
        <family val="2"/>
        <scheme val="minor"/>
      </rPr>
      <t>2</t>
    </r>
    <r>
      <rPr>
        <sz val="10"/>
        <color theme="1"/>
        <rFont val="Calibri"/>
        <family val="2"/>
        <scheme val="minor"/>
      </rPr>
      <t xml:space="preserve"> ekv/m</t>
    </r>
  </si>
  <si>
    <t>Toodete 106252 Katrin Classic Gigant Toilet M2 (https://www.katrinsolutions.com/baltic/consumption_calculator) ja Tork T8/T9 SmartOne® (https://www.tork.com.ee/product/472193/taide/tualettpaber)</t>
  </si>
  <si>
    <t>KONTORIPABERI KASUTUS</t>
  </si>
  <si>
    <r>
      <t xml:space="preserve">Muuseumitegevuse olulisemad keskkonnaaspektid on välja toodud järgmiste energia- ja materjalivoogudena: 
</t>
    </r>
    <r>
      <rPr>
        <sz val="11"/>
        <rFont val="Calibri"/>
        <family val="2"/>
      </rPr>
      <t xml:space="preserve">• </t>
    </r>
    <r>
      <rPr>
        <b/>
        <sz val="11"/>
        <rFont val="Calibri"/>
        <family val="2"/>
        <scheme val="minor"/>
      </rPr>
      <t>ELEKTER</t>
    </r>
    <r>
      <rPr>
        <sz val="11"/>
        <rFont val="Calibri"/>
        <family val="2"/>
        <scheme val="minor"/>
      </rPr>
      <t xml:space="preserve"> </t>
    </r>
    <r>
      <rPr>
        <sz val="11"/>
        <rFont val="Calibri"/>
        <family val="2"/>
      </rPr>
      <t>‒</t>
    </r>
    <r>
      <rPr>
        <sz val="11"/>
        <rFont val="Calibri"/>
        <family val="2"/>
        <scheme val="minor"/>
      </rPr>
      <t xml:space="preserve"> muuseumi elektritarbimine
</t>
    </r>
    <r>
      <rPr>
        <b/>
        <sz val="11"/>
        <rFont val="Calibri"/>
        <family val="2"/>
        <scheme val="minor"/>
      </rPr>
      <t>• SOOJUS</t>
    </r>
    <r>
      <rPr>
        <sz val="11"/>
        <rFont val="Calibri"/>
        <family val="2"/>
        <scheme val="minor"/>
      </rPr>
      <t xml:space="preserve"> ‒ muuseumi soojusenergia tarbimine (küte ja jahutus)
</t>
    </r>
    <r>
      <rPr>
        <b/>
        <sz val="11"/>
        <rFont val="Calibri"/>
        <family val="2"/>
        <scheme val="minor"/>
      </rPr>
      <t>• VESI</t>
    </r>
    <r>
      <rPr>
        <sz val="11"/>
        <rFont val="Calibri"/>
        <family val="2"/>
        <scheme val="minor"/>
      </rPr>
      <t xml:space="preserve"> ‒ muuseumi veetarbimine
</t>
    </r>
    <r>
      <rPr>
        <b/>
        <sz val="11"/>
        <rFont val="Calibri"/>
        <family val="2"/>
        <scheme val="minor"/>
      </rPr>
      <t>• PABER</t>
    </r>
    <r>
      <rPr>
        <sz val="11"/>
        <rFont val="Calibri"/>
        <family val="2"/>
        <scheme val="minor"/>
      </rPr>
      <t xml:space="preserve"> ‒ kontori- ja pehmepaberi tarbimine
</t>
    </r>
    <r>
      <rPr>
        <b/>
        <sz val="11"/>
        <rFont val="Calibri"/>
        <family val="2"/>
        <scheme val="minor"/>
      </rPr>
      <t>• JÄÄTMED</t>
    </r>
    <r>
      <rPr>
        <sz val="11"/>
        <rFont val="Calibri"/>
        <family val="2"/>
        <scheme val="minor"/>
      </rPr>
      <t xml:space="preserve"> ‒ muuseumis tekkiv olmejäätmete kogus ja jäätmete liigiti kogumine
Need on klassikalised keskkonnaaspektid, mida tuleks muuseumi tasandil regulaarselt mõõta, et hinnata muuseumi keskkonnajalajälge. Kui soovitakse arvestust pidada ka kodukontorite elektritarbimise kohta, siis tuleb selleks vastav andmekogumissüsteem sisse seada.
Nimetatud keskkonnaaspektide/-mõõdikute regulaarne (aastapõhine) seire lubab muuseumil seada ka asjakohaseid keskkonnaeesmärke ning hinnata oma keskkonnategevuse (sh rakendatud meetmete) tulemuslikkust.
Muuseum peab oma tegevusega seotud tarbimisandmed (üldjuhul saab neid arvetelt või muudelt raamatupidamisdokumentidelt) sisestama soovitatavalt igakuiselt (v.a ostetud paberi kogus) mudeli töölehtedel olevatesse arvestustabelitesse. Vastavatel lehtedel on toodud juhised andmete sisestamiseks. Kõikide keskkonnaaspektidega seotud tarbimis-/tekkekoguste tulemused võetakse aastate kaupa kokku ´KOOND´ lehel.
NB! Alati ei pruugi olla võimalik koguda muuseumi kohta kõiki asjakohased andmeid (nt tarbitud elektri- või soojusenergia kogused või olmejäätmete kogused või liigiti kogutud jäätmete kogused), kui muuseumil ei ole oma energia-/veemõõdikuid või asutakse suuremas hoones, kus asutuste jäätmed liiguvad ühistesse jäätmekonteineritesse. Sellisel juhul ei saa kõiki keskkonnaaspekte mõõta ja need võib arvestusest välja jätta. Küll aga tuleks muuseumi keskkonnajalajälje (eelkõige KHG jalajälje) tulemuse kommunikeerimisel lisada juurde selgitus, kui üks või teine energia-, vee-, jäätme- või materjalivoo andmestik ei ole arvutustesse lisatud.</t>
    </r>
  </si>
  <si>
    <t>A4 (80 g/m²)</t>
  </si>
  <si>
    <t>Elering 2022. Elektrienergia segajäägi eriheide 2021</t>
  </si>
  <si>
    <t>AS Utilitas 2022, 2021. aasta andmed</t>
  </si>
  <si>
    <t>AS Utilitas 2023, 2022. aasta andmed</t>
  </si>
  <si>
    <t>AS Utilitas 2024, 2023. aasta andmed</t>
  </si>
  <si>
    <t>AS Gren 2022, 2021. aasta andmed</t>
  </si>
  <si>
    <t>AS Gren 2023, 2022. aasta andmed</t>
  </si>
  <si>
    <t>AS Gren 2024, 2023. aasta andmed</t>
  </si>
  <si>
    <t>KHG inventuuri aruanne 2022, arvestuslik katla kasutegur 90%</t>
  </si>
  <si>
    <t>KHG inventuuri aruanne 2022, kütteväärtus ~31,82 MJ/l</t>
  </si>
  <si>
    <t>KHG inventuuri aruanne 2022, kütteväärtus 49 MJ/kg</t>
  </si>
  <si>
    <t>KHG inventuuri aruanne 2022, kütteväärtus ~35,69 MJ/l</t>
  </si>
  <si>
    <t>KHG inventuuri aruanne 2022</t>
  </si>
  <si>
    <r>
      <t>kg CO</t>
    </r>
    <r>
      <rPr>
        <vertAlign val="subscript"/>
        <sz val="10"/>
        <rFont val="Calibri"/>
        <family val="2"/>
        <scheme val="minor"/>
      </rPr>
      <t>2</t>
    </r>
    <r>
      <rPr>
        <sz val="10"/>
        <rFont val="Calibri"/>
        <family val="2"/>
        <scheme val="minor"/>
      </rPr>
      <t xml:space="preserve"> ekv/km</t>
    </r>
  </si>
  <si>
    <r>
      <t>kg CO</t>
    </r>
    <r>
      <rPr>
        <vertAlign val="subscript"/>
        <sz val="10"/>
        <rFont val="Calibri"/>
        <family val="2"/>
        <scheme val="minor"/>
      </rPr>
      <t>2</t>
    </r>
    <r>
      <rPr>
        <sz val="10"/>
        <rFont val="Calibri"/>
        <family val="2"/>
        <scheme val="minor"/>
      </rPr>
      <t xml:space="preserve"> ekv/sõitja-km</t>
    </r>
  </si>
  <si>
    <t>Statistikaameti andmed 2021, KHG inventuuri aruanne 2022 (diiselbussi eriheitetegur)</t>
  </si>
  <si>
    <t>Statistikaameti andmed 2021, KHG inventuuri aruanne 2022 (diisel- ja CNG-busside eriheitetegurid)</t>
  </si>
  <si>
    <t>AS TLT Tallinna linnaliinibusside andmed 2021 (diisel- ja gaasibusside keskmine), KHG inventuuri aruanne 2022 (diisel-, CNG- ja bio-CNG-busside eriheitetegurid)</t>
  </si>
  <si>
    <t>AS Elroni andmed 2021, KHG inventuuri aruanne 2022 (rongidiisli eriheitetegur)</t>
  </si>
  <si>
    <t>UK Government GHG Conversion Factors for Company Reporting 2022, ferry, foot passenger</t>
  </si>
  <si>
    <t>UK Government GHG Conversion Factors for Company Reporting 2022, short-haul, average passenger</t>
  </si>
  <si>
    <t>Bussiteenuse pakkujad (keskmine kütusekulu l/km, maakondlik liin), KHG inventuuri aruanne 2022 (diiselbussi eriheitetegur)</t>
  </si>
  <si>
    <t>KHG inventuuri aruanne 2022, kaubiku bensiini ja diisli kaalutud keskmine eriheitetegur km kohta</t>
  </si>
  <si>
    <t>UK Government GHG Conversion Factors for Company Reporting 2022, paper and board: paper, closed-loop source</t>
  </si>
  <si>
    <r>
      <rPr>
        <i/>
        <sz val="11"/>
        <rFont val="Calibri"/>
        <family val="2"/>
        <scheme val="minor"/>
      </rPr>
      <t>KHG jalajälje arvutamise aluseks olevad eriheitetegurid põhinevad Kliimaministeeriumi poolt kinnitatud vastaval andmebaasil (</t>
    </r>
    <r>
      <rPr>
        <i/>
        <u/>
        <sz val="11"/>
        <color theme="10"/>
        <rFont val="Calibri"/>
        <family val="2"/>
        <scheme val="minor"/>
      </rPr>
      <t>https://kliimaministeerium.ee/organisatsioonide-khg-jalajalg</t>
    </r>
    <r>
      <rPr>
        <i/>
        <sz val="11"/>
        <rFont val="Calibri"/>
        <family val="2"/>
        <scheme val="minor"/>
      </rPr>
      <t>). 
Elektrienergia ja kaugkütte vastava võrgupiirkonna heitetegurid saab ise sisestada tabelis toodud allikate põhjal. Ülejäänud eriheitetegurite muudatustest anname eraldi teada.</t>
    </r>
  </si>
  <si>
    <r>
      <rPr>
        <sz val="11"/>
        <rFont val="Calibri"/>
        <family val="2"/>
        <scheme val="minor"/>
      </rPr>
      <t>Lisaks keskkonnaaspektide tarbimispõhisele seirele võimaldab mudel arvutada muuseumitegevusest tulenevat KHG jalajälge. Peamiste keskkonnaaspektide (elekter, soojus, vesi, paber, jäätmed) KHG heide arvutatakse mudelis automaatselt vastavalt sisestatud tarbimis-/tekkekogustele. Ainult elektri ja soojusenergia tabelites tuleb KHG jalajälje arvutamiseks sisestada lisainformatsiooni. 
Muuseumitegevuse KHG jalajälje arvutamise ulatuse määratlemisel tuleks peale nimetatud keskkonnaaspektide arvestada ka muuseumile kuuluvate sõidukite ja kliimaseadmete kasutust (M1 - mõjuala 1) ning mõjuala 3 (M3) alla kuuluvaid tüüpilisi tegevusi (tööreisid, töötajate tööle-koju liikumine, muuseumiga seotud asjade ja inimeste transporditeenus). Arvutusmudelis on eraldi töölehed koos juhistega nimetatud tegevuskategooriate andmete sisestamiseks:
• KHG_OMA SÕIDUKID M1
• KHG_HAJUSHEITMED M1
• KHG_TÖÖREISID M3
• KHG_TÖÖLE-KOJU M3
• KHG_TRANSPORDITEENUS M3
Üldjuhul eeldab nende tegevuskategooriate sisendandmete kogumine muuseumi tasandil andmekogumise süsteemi loomist (nt töötajate tööle ja koju liikumise igaaastast analüüsi, tööreiside transpordiandmete kogumist</t>
    </r>
    <r>
      <rPr>
        <sz val="11"/>
        <color rgb="FFFF0000"/>
        <rFont val="Calibri"/>
        <family val="2"/>
        <scheme val="minor"/>
      </rPr>
      <t xml:space="preserve"> </t>
    </r>
    <r>
      <rPr>
        <sz val="11"/>
        <rFont val="Calibri"/>
        <family val="2"/>
        <scheme val="minor"/>
      </rPr>
      <t>jne). 
KHG jalajälje koondtulemus CO</t>
    </r>
    <r>
      <rPr>
        <vertAlign val="subscript"/>
        <sz val="11"/>
        <rFont val="Calibri"/>
        <family val="2"/>
        <scheme val="minor"/>
      </rPr>
      <t>2</t>
    </r>
    <r>
      <rPr>
        <sz val="11"/>
        <rFont val="Calibri"/>
        <family val="2"/>
        <scheme val="minor"/>
      </rPr>
      <t xml:space="preserve"> ekvivalentides tuuakse välja mudeli töölehel 'KHG JALAJÄLG KOOND' nii mõjualade kaupa kui ka suhtelise näitajana muuseumi külastaja kohta.
Mudeli viimasel töölehel on toodud KHG jalajälje arvutamise aluseks olevad eriheitetegurid, mis tuginevad kliimaministeeriumi poolt kinnitatud vastavale andmebaasile (</t>
    </r>
    <r>
      <rPr>
        <u/>
        <sz val="11"/>
        <color theme="10"/>
        <rFont val="Calibri"/>
        <family val="2"/>
        <scheme val="minor"/>
      </rPr>
      <t>https://kliimaministeerium.ee/organisatsioonide-khg-jalajalg</t>
    </r>
    <r>
      <rPr>
        <sz val="11"/>
        <rFont val="Calibri"/>
        <family val="2"/>
        <scheme val="minor"/>
      </rPr>
      <t>). EKJA uuendab käesolevas mudelis kasutatavaid eriheitetegureid selle andmebaasi põhjal igal aastal.
NB! Kui muuseum soovib kasutada muid eriheitetegureid, siis tuleb need sisestada eriheitetegurite töölehe tabelites olevate tegurite asemele.</t>
    </r>
  </si>
  <si>
    <r>
      <t>kg CO</t>
    </r>
    <r>
      <rPr>
        <vertAlign val="subscript"/>
        <sz val="10"/>
        <rFont val="Calibri"/>
        <family val="2"/>
        <scheme val="minor"/>
      </rPr>
      <t>2</t>
    </r>
    <r>
      <rPr>
        <sz val="10"/>
        <rFont val="Calibri"/>
        <family val="2"/>
        <scheme val="minor"/>
      </rPr>
      <t xml:space="preserve"> ekv/l</t>
    </r>
  </si>
  <si>
    <t>Sellel vahelehel võetakse kokku elektri-, soojusenergia, vee- ja paberikasutuse ning olmejäätmete tekke aastapõhised andmed eelmistelt töölehtedelt. Kodukontori andmed on lisatud ainult kõige olulisema keskkonnaaspekti ehk elektrienergia tarbimise puhul, kui need andmed on vastavale lehele sisestatud. Tabelite kõrval kuvatakse põhinäitajad joonistena.</t>
  </si>
  <si>
    <t>UK Government GHG Conversion Factors for Company Reporting 2025, paper and board: paper, closed-loop source</t>
  </si>
  <si>
    <t xml:space="preserve">Paberi tarbimine on suhteliselt väikese mõjuga keskkonnaaspekt, kuid siiski on soovitatav rohelise muuseumi puhul paberi kui kontoripõhise tegevuse ühe suuremamahulise sisendmaterjali tarbimist perioodiliselt mõõta. Allolevas tabelis saab eraldi välja tuua kontori- ehk printeri- ja koopiapaberi ning pehmepaberi (lehträtikud ja tualettpaber) kasutuse.
Kõige lihtsam on paberi arvestust pidada aasta jooksul ostetud kontoripaberi ja pehmepaberi arvulise koguse põhjal, mille saab üldjuhul võtta raamatupidamisest ostuarvetelt. Lehträtikute pakkides olevate lehtede arvu ja tualettpaberi rulli meetrite kohta saab infot toodete kodulehtedelt. Teine võimalus kontoripaberi kohta andmete saamiseks on võtta paberikasutuse väljavõte kontori ühisest printerikeskusest (kui see on olemas). 
Tabelis arvutatakse kontoripaberi lehtede koguarv ja kaal järgmistel eeldustel (vajadusel võib asendada allolevad väärtused teiste väärtustega):  </t>
  </si>
  <si>
    <r>
      <t>Kui teie jäätmekäitleja annab oma massikaalud, siis tuleks ülaltoodud tabelis asendada olemasolevad koefitsiendid jäätmekäitleja antud koefitsientidega.
2. Juhul kui muuseum asub koos teiste asutustega ühes hoones, kus tekkinud jäätmed, sh liigiti kogutud jäätmed pannakse maja ühistesse jäätmekonteineritesse, siis ei ole võimalik teada saada ühe asutuse täpset olmejäätmete tekkekogust. Sel juhul soovitame teha oma asutuse sees jäätmeuuringu: ühe tüüpilise nädala jooksul kaaluda asutuses tekkivad jäätmed vastavalt tabelis olevatele liikidele (biojäätmed, klaaspakend, paber ja kartong, segapakend, segaolmejäätmed) ning tulemused korrutada nädalate arvuga kuus. Jäätmete kaalumist võiks teha 2</t>
    </r>
    <r>
      <rPr>
        <sz val="11"/>
        <rFont val="Calibri"/>
        <family val="2"/>
      </rPr>
      <t>‒</t>
    </r>
    <r>
      <rPr>
        <i/>
        <sz val="11"/>
        <rFont val="Calibri"/>
        <family val="2"/>
        <scheme val="minor"/>
      </rPr>
      <t>3 korda aastas eri aastaaegadel. 
Olmejäätmete tekke ja käitlemisega seotud KHG jalajälje hindamiseks tuleb allolevas tabelis sisestada segaolmejäätmete kogus sellele reale, kuidas toimub nende jäätmete edasine käitlus kohta (põletamine või prügilasse ladestamine). Need andmed saab jäätmeveoteenust pakkuva ettevõtte käest.
Kui pole teada, kuhu muuseumi segaolmejäätmed liiguvad, siis tuleks selleks valida segaolmejäätmete prügilasse ladestamine.
Kuna kodukontorites tekitatav jäätmekoguse (sh liigiti kogumise) hindamine on väga keeruline, siis käesolevas mudelis seda eraldi ei arvestata.</t>
    </r>
  </si>
  <si>
    <t>Siia lehele saab sisestada aasta jooksul muuseumi tegevusega seotud ja sisseostetud transporditeenuse kaubiku või bussiga (nt asjade või inimeste vedu), et hinnata sisseostetud transporditeenusest tulenevat KHG heidet arvestusaastas.
Kaubiku puhul saab valida kas kasutatud on bensiini-, diisel- või elektrimootoriga kaubiku teenust (sh tava- või taastuva elektriga sõitev kaubik), bussi puhul on valida diiselmootoriga buss või väikebuss. Kõige täpsema tulemuse annab KHG heitkoguse arvutamine aastas kasutatud kütuseliitrite või elektrienergia kilovatt-tundide põhjal. Kui neid andmeid pole võimalik teenusepakkujalt saada, tuleks tabelisse märkida vastava sõidukitüübiga tehtud kaubaveo vahemaa kilomeetrites või tonn-kilomeetrites ning bussi või väikebussiga läbitud vahemaa kilomeetrites.
Ühe veo tonnkilomeetrite arvutamiseks korrutatakse vastava sõidukiliigiga tehtud veo kaugus (km) kauba kaaluga tonnides.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</si>
</sst>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0.0"/>
    <numFmt numFmtId="168" formatCode="0.0%"/>
    <numFmt numFmtId="169" formatCode="0.0000"/>
  </numFmts>
  <fonts count="81" x14ac:knownFonts="1">
    <font>
      <sz val="11"/>
      <color theme="1"/>
      <name val="Calibri"/>
      <family val="2"/>
      <scheme val="minor"/>
    </font>
    <font>
      <sz val="11"/>
      <color theme="1"/>
      <name val="Calibri"/>
      <family val="2"/>
      <charset val="186"/>
      <scheme val="minor"/>
    </font>
    <font>
      <b/>
      <sz val="10"/>
      <name val="Calibri"/>
      <family val="2"/>
      <charset val="186"/>
      <scheme val="minor"/>
    </font>
    <font>
      <sz val="10"/>
      <name val="Calibri"/>
      <family val="2"/>
      <charset val="186"/>
      <scheme val="minor"/>
    </font>
    <font>
      <b/>
      <sz val="11"/>
      <name val="Calibri"/>
      <family val="2"/>
      <charset val="186"/>
      <scheme val="minor"/>
    </font>
    <font>
      <sz val="10"/>
      <color theme="1"/>
      <name val="Calibri"/>
      <family val="2"/>
      <scheme val="minor"/>
    </font>
    <font>
      <b/>
      <sz val="10"/>
      <color theme="1"/>
      <name val="Calibri"/>
      <family val="2"/>
      <charset val="186"/>
      <scheme val="minor"/>
    </font>
    <font>
      <b/>
      <sz val="10"/>
      <color theme="1"/>
      <name val="Calibri"/>
      <family val="2"/>
      <scheme val="minor"/>
    </font>
    <font>
      <sz val="10"/>
      <color theme="1"/>
      <name val="Calibri"/>
      <family val="2"/>
      <charset val="186"/>
      <scheme val="minor"/>
    </font>
    <font>
      <i/>
      <sz val="10"/>
      <color theme="1"/>
      <name val="Calibri"/>
      <family val="2"/>
      <charset val="186"/>
      <scheme val="minor"/>
    </font>
    <font>
      <b/>
      <sz val="11"/>
      <color theme="1"/>
      <name val="Calibri"/>
      <family val="2"/>
      <charset val="186"/>
      <scheme val="minor"/>
    </font>
    <font>
      <i/>
      <sz val="11"/>
      <color theme="1"/>
      <name val="Calibri"/>
      <family val="2"/>
      <charset val="186"/>
      <scheme val="minor"/>
    </font>
    <font>
      <sz val="10"/>
      <name val="Calibri"/>
      <family val="2"/>
      <scheme val="minor"/>
    </font>
    <font>
      <sz val="9"/>
      <color indexed="81"/>
      <name val="Tahoma"/>
      <family val="2"/>
      <charset val="186"/>
    </font>
    <font>
      <b/>
      <sz val="11"/>
      <color theme="1"/>
      <name val="Calibri"/>
      <family val="2"/>
      <scheme val="minor"/>
    </font>
    <font>
      <i/>
      <sz val="11"/>
      <color theme="1"/>
      <name val="Calibri"/>
      <family val="2"/>
      <scheme val="minor"/>
    </font>
    <font>
      <u/>
      <sz val="11"/>
      <color theme="10"/>
      <name val="Calibri"/>
      <family val="2"/>
      <scheme val="minor"/>
    </font>
    <font>
      <b/>
      <sz val="10"/>
      <name val="Calibri"/>
      <family val="2"/>
      <scheme val="minor"/>
    </font>
    <font>
      <sz val="11"/>
      <name val="Calibri"/>
      <family val="2"/>
      <scheme val="minor"/>
    </font>
    <font>
      <b/>
      <sz val="11"/>
      <name val="Calibri"/>
      <family val="2"/>
      <scheme val="minor"/>
    </font>
    <font>
      <i/>
      <sz val="10"/>
      <name val="Calibri"/>
      <family val="2"/>
      <scheme val="minor"/>
    </font>
    <font>
      <b/>
      <sz val="14"/>
      <color rgb="FF00B050"/>
      <name val="Calibri"/>
      <family val="2"/>
      <charset val="186"/>
      <scheme val="minor"/>
    </font>
    <font>
      <b/>
      <sz val="14"/>
      <color theme="1"/>
      <name val="Calibri"/>
      <family val="2"/>
      <charset val="186"/>
      <scheme val="minor"/>
    </font>
    <font>
      <b/>
      <i/>
      <sz val="10"/>
      <color theme="1"/>
      <name val="Calibri"/>
      <family val="2"/>
      <scheme val="minor"/>
    </font>
    <font>
      <b/>
      <sz val="14"/>
      <color theme="1"/>
      <name val="Calibri"/>
      <family val="2"/>
      <scheme val="minor"/>
    </font>
    <font>
      <b/>
      <sz val="14"/>
      <name val="Calibri"/>
      <family val="2"/>
      <scheme val="minor"/>
    </font>
    <font>
      <b/>
      <sz val="12"/>
      <color theme="1"/>
      <name val="Calibri"/>
      <family val="2"/>
      <scheme val="minor"/>
    </font>
    <font>
      <i/>
      <sz val="11"/>
      <color rgb="FFFF0000"/>
      <name val="Calibri"/>
      <family val="2"/>
      <scheme val="minor"/>
    </font>
    <font>
      <sz val="11"/>
      <color rgb="FFFF0000"/>
      <name val="Calibri"/>
      <family val="2"/>
      <scheme val="minor"/>
    </font>
    <font>
      <i/>
      <sz val="12"/>
      <name val="Calibri"/>
      <family val="2"/>
      <scheme val="minor"/>
    </font>
    <font>
      <b/>
      <sz val="16"/>
      <name val="Calibri"/>
      <family val="2"/>
      <charset val="186"/>
      <scheme val="minor"/>
    </font>
    <font>
      <b/>
      <sz val="16"/>
      <name val="Calibri"/>
      <family val="2"/>
      <scheme val="minor"/>
    </font>
    <font>
      <b/>
      <sz val="14"/>
      <name val="Calibri"/>
      <family val="2"/>
      <charset val="186"/>
      <scheme val="minor"/>
    </font>
    <font>
      <i/>
      <sz val="14"/>
      <name val="Calibri"/>
      <family val="2"/>
      <scheme val="minor"/>
    </font>
    <font>
      <i/>
      <sz val="12"/>
      <color theme="1"/>
      <name val="Calibri"/>
      <family val="2"/>
      <scheme val="minor"/>
    </font>
    <font>
      <b/>
      <sz val="12"/>
      <color theme="1"/>
      <name val="Calibri"/>
      <family val="2"/>
      <charset val="186"/>
      <scheme val="minor"/>
    </font>
    <font>
      <b/>
      <vertAlign val="superscript"/>
      <sz val="10"/>
      <color theme="1"/>
      <name val="Calibri"/>
      <family val="2"/>
      <scheme val="minor"/>
    </font>
    <font>
      <vertAlign val="superscript"/>
      <sz val="10"/>
      <name val="Calibri"/>
      <family val="2"/>
      <scheme val="minor"/>
    </font>
    <font>
      <vertAlign val="superscript"/>
      <sz val="10"/>
      <color theme="1"/>
      <name val="Calibri"/>
      <family val="2"/>
      <scheme val="minor"/>
    </font>
    <font>
      <sz val="10"/>
      <color rgb="FF000000"/>
      <name val="Calibri"/>
      <family val="2"/>
      <scheme val="minor"/>
    </font>
    <font>
      <sz val="12"/>
      <color theme="1"/>
      <name val="Cambria"/>
      <family val="1"/>
    </font>
    <font>
      <sz val="11"/>
      <color theme="1"/>
      <name val="Cambria"/>
      <family val="1"/>
    </font>
    <font>
      <sz val="11"/>
      <color rgb="FF000000"/>
      <name val="Calibri"/>
      <family val="2"/>
    </font>
    <font>
      <sz val="8"/>
      <name val="Calibri"/>
      <family val="2"/>
      <scheme val="minor"/>
    </font>
    <font>
      <b/>
      <sz val="11"/>
      <color theme="0"/>
      <name val="Calibri"/>
      <family val="2"/>
      <scheme val="minor"/>
    </font>
    <font>
      <vertAlign val="superscript"/>
      <sz val="10"/>
      <name val="Tahoma"/>
      <family val="2"/>
    </font>
    <font>
      <vertAlign val="superscript"/>
      <sz val="10"/>
      <name val="Calibri"/>
      <family val="2"/>
    </font>
    <font>
      <sz val="11"/>
      <color theme="1"/>
      <name val="Calibri"/>
      <family val="2"/>
      <scheme val="minor"/>
    </font>
    <font>
      <b/>
      <sz val="10"/>
      <color theme="0"/>
      <name val="Calibri"/>
      <family val="2"/>
      <scheme val="minor"/>
    </font>
    <font>
      <b/>
      <sz val="18"/>
      <color theme="1"/>
      <name val="Calibri"/>
      <family val="2"/>
      <charset val="186"/>
      <scheme val="minor"/>
    </font>
    <font>
      <i/>
      <vertAlign val="superscript"/>
      <sz val="11"/>
      <color theme="1"/>
      <name val="Calibri"/>
      <family val="2"/>
      <scheme val="minor"/>
    </font>
    <font>
      <i/>
      <vertAlign val="superscript"/>
      <sz val="10"/>
      <name val="Calibri"/>
      <family val="2"/>
      <scheme val="minor"/>
    </font>
    <font>
      <sz val="11"/>
      <color rgb="FFFF0000"/>
      <name val="Cambria"/>
      <family val="1"/>
    </font>
    <font>
      <b/>
      <sz val="16"/>
      <color rgb="FFFF0000"/>
      <name val="Calibri"/>
      <family val="2"/>
      <scheme val="minor"/>
    </font>
    <font>
      <sz val="11"/>
      <color rgb="FF002060"/>
      <name val="Cambria"/>
      <family val="1"/>
    </font>
    <font>
      <b/>
      <sz val="12"/>
      <color rgb="FFFF0000"/>
      <name val="Calibri"/>
      <family val="2"/>
      <scheme val="minor"/>
    </font>
    <font>
      <b/>
      <vertAlign val="subscript"/>
      <sz val="10"/>
      <name val="Calibri"/>
      <family val="2"/>
      <scheme val="minor"/>
    </font>
    <font>
      <b/>
      <vertAlign val="subscript"/>
      <sz val="10"/>
      <color theme="0"/>
      <name val="Calibri"/>
      <family val="2"/>
      <scheme val="minor"/>
    </font>
    <font>
      <b/>
      <sz val="12"/>
      <name val="Calibri"/>
      <family val="2"/>
      <scheme val="minor"/>
    </font>
    <font>
      <sz val="10"/>
      <color theme="1"/>
      <name val="Calibri"/>
      <family val="2"/>
    </font>
    <font>
      <i/>
      <sz val="11"/>
      <name val="Calibri"/>
      <family val="2"/>
      <scheme val="minor"/>
    </font>
    <font>
      <b/>
      <i/>
      <sz val="14"/>
      <name val="Calibri"/>
      <family val="2"/>
      <scheme val="minor"/>
    </font>
    <font>
      <i/>
      <u/>
      <sz val="11"/>
      <color theme="10"/>
      <name val="Calibri"/>
      <family val="2"/>
      <scheme val="minor"/>
    </font>
    <font>
      <b/>
      <i/>
      <sz val="11"/>
      <name val="Calibri"/>
      <family val="2"/>
      <scheme val="minor"/>
    </font>
    <font>
      <sz val="11"/>
      <name val="Calibri"/>
      <family val="2"/>
    </font>
    <font>
      <i/>
      <vertAlign val="superscript"/>
      <sz val="11"/>
      <name val="Calibri"/>
      <family val="2"/>
      <scheme val="minor"/>
    </font>
    <font>
      <vertAlign val="subscript"/>
      <sz val="11"/>
      <name val="Calibri"/>
      <family val="2"/>
      <scheme val="minor"/>
    </font>
    <font>
      <b/>
      <vertAlign val="subscript"/>
      <sz val="10"/>
      <color theme="1"/>
      <name val="Calibri"/>
      <family val="2"/>
      <scheme val="minor"/>
    </font>
    <font>
      <i/>
      <sz val="11"/>
      <name val="Calibri"/>
      <family val="2"/>
    </font>
    <font>
      <i/>
      <vertAlign val="subscript"/>
      <sz val="11"/>
      <name val="Calibri"/>
      <family val="2"/>
      <scheme val="minor"/>
    </font>
    <font>
      <vertAlign val="subscript"/>
      <sz val="10"/>
      <color theme="1"/>
      <name val="Calibri"/>
      <family val="2"/>
      <scheme val="minor"/>
    </font>
    <font>
      <i/>
      <sz val="10"/>
      <color theme="1"/>
      <name val="Calibri"/>
      <family val="2"/>
      <scheme val="minor"/>
    </font>
    <font>
      <sz val="10"/>
      <color theme="1"/>
      <name val="Cambria"/>
      <family val="1"/>
    </font>
    <font>
      <sz val="10"/>
      <name val="Cambria"/>
      <family val="1"/>
    </font>
    <font>
      <u/>
      <sz val="10"/>
      <color theme="10"/>
      <name val="Calibri"/>
      <family val="2"/>
      <scheme val="minor"/>
    </font>
    <font>
      <vertAlign val="subscript"/>
      <sz val="10"/>
      <name val="Cambria"/>
      <family val="1"/>
    </font>
    <font>
      <sz val="11"/>
      <color theme="1"/>
      <name val="Calibri"/>
      <family val="2"/>
    </font>
    <font>
      <sz val="10"/>
      <color rgb="FFFF0000"/>
      <name val="Calibri"/>
      <family val="2"/>
      <scheme val="minor"/>
    </font>
    <font>
      <b/>
      <sz val="13"/>
      <color theme="3"/>
      <name val="Calibri"/>
      <family val="2"/>
      <charset val="186"/>
      <scheme val="minor"/>
    </font>
    <font>
      <b/>
      <sz val="11"/>
      <color rgb="FFFF0000"/>
      <name val="Calibri"/>
      <family val="2"/>
      <charset val="186"/>
      <scheme val="minor"/>
    </font>
    <font>
      <vertAlign val="subscript"/>
      <sz val="10"/>
      <name val="Calibri"/>
      <family val="2"/>
      <scheme val="minor"/>
    </font>
  </fonts>
  <fills count="20">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
      <patternFill patternType="solid">
        <fgColor rgb="FFFFFFFF"/>
      </patternFill>
    </fill>
    <fill>
      <patternFill patternType="solid">
        <fgColor rgb="FFF0F5FF"/>
      </patternFill>
    </fill>
    <fill>
      <patternFill patternType="solid">
        <fgColor theme="4" tint="0.79998168889431442"/>
        <bgColor rgb="FF000000"/>
      </patternFill>
    </fill>
    <fill>
      <patternFill patternType="solid">
        <fgColor rgb="FFFEFE33"/>
        <bgColor indexed="64"/>
      </patternFill>
    </fill>
    <fill>
      <patternFill patternType="solid">
        <fgColor rgb="FFB2D732"/>
        <bgColor indexed="64"/>
      </patternFill>
    </fill>
    <fill>
      <patternFill patternType="solid">
        <fgColor rgb="FFFCCB1A"/>
        <bgColor indexed="64"/>
      </patternFill>
    </fill>
    <fill>
      <patternFill patternType="solid">
        <fgColor rgb="FFE4F132"/>
        <bgColor indexed="64"/>
      </patternFill>
    </fill>
    <fill>
      <patternFill patternType="solid">
        <fgColor rgb="FF98CA32"/>
        <bgColor indexed="64"/>
      </patternFill>
    </fill>
    <fill>
      <patternFill patternType="solid">
        <fgColor rgb="FF559E54"/>
        <bgColor indexed="64"/>
      </patternFill>
    </fill>
    <fill>
      <patternFill patternType="solid">
        <fgColor rgb="FF0A3409"/>
        <bgColor indexed="64"/>
      </patternFill>
    </fill>
    <fill>
      <patternFill patternType="solid">
        <fgColor rgb="FFFCBA12"/>
        <bgColor indexed="64"/>
      </patternFill>
    </fill>
    <fill>
      <patternFill patternType="solid">
        <fgColor rgb="FFFB8604"/>
        <bgColor indexed="64"/>
      </patternFill>
    </fill>
    <fill>
      <patternFill patternType="solid">
        <fgColor rgb="FFF7E7D4"/>
        <bgColor indexed="64"/>
      </patternFill>
    </fill>
    <fill>
      <patternFill patternType="solid">
        <fgColor theme="0" tint="-0.14999847407452621"/>
        <bgColor indexed="64"/>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DADCDD"/>
      </left>
      <right style="thin">
        <color rgb="FFDADCDD"/>
      </right>
      <top style="thin">
        <color rgb="FFDADCDD"/>
      </top>
      <bottom style="thin">
        <color rgb="FFDADCDD"/>
      </bottom>
      <diagonal/>
    </border>
    <border>
      <left style="medium">
        <color indexed="64"/>
      </left>
      <right/>
      <top style="medium">
        <color rgb="FF000000"/>
      </top>
      <bottom/>
      <diagonal/>
    </border>
    <border>
      <left style="thin">
        <color rgb="FFB2B2B2"/>
      </left>
      <right style="thin">
        <color rgb="FFB2B2B2"/>
      </right>
      <top style="thin">
        <color rgb="FFB2B2B2"/>
      </top>
      <bottom style="thin">
        <color rgb="FFB2B2B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style="thick">
        <color theme="0" tint="-0.34998626667073579"/>
      </right>
      <top/>
      <bottom/>
      <diagonal/>
    </border>
    <border>
      <left style="thin">
        <color rgb="FF548235"/>
      </left>
      <right/>
      <top/>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0" fontId="16" fillId="0" borderId="0" applyNumberFormat="0" applyFill="0" applyBorder="0" applyAlignment="0" applyProtection="0"/>
    <xf numFmtId="0" fontId="42" fillId="5" borderId="58"/>
    <xf numFmtId="0" fontId="42" fillId="6" borderId="58"/>
    <xf numFmtId="0" fontId="18" fillId="7" borderId="60" applyNumberFormat="0" applyProtection="0">
      <alignment vertical="center"/>
    </xf>
    <xf numFmtId="9" fontId="47" fillId="0" borderId="0" applyFont="0" applyFill="0" applyBorder="0" applyAlignment="0" applyProtection="0"/>
    <xf numFmtId="0" fontId="78" fillId="0" borderId="0">
      <alignment vertical="center"/>
    </xf>
  </cellStyleXfs>
  <cellXfs count="653">
    <xf numFmtId="0" fontId="0" fillId="0" borderId="0" xfId="0"/>
    <xf numFmtId="0" fontId="4" fillId="0" borderId="0" xfId="0" applyFont="1"/>
    <xf numFmtId="0" fontId="5" fillId="0" borderId="0" xfId="0" applyFont="1"/>
    <xf numFmtId="0" fontId="0" fillId="0" borderId="0" xfId="0" applyAlignment="1">
      <alignment horizontal="center"/>
    </xf>
    <xf numFmtId="0" fontId="10" fillId="0" borderId="0" xfId="0" applyFont="1"/>
    <xf numFmtId="0" fontId="11" fillId="0" borderId="0" xfId="0" applyFont="1"/>
    <xf numFmtId="0" fontId="3" fillId="0" borderId="0" xfId="0" applyFont="1" applyAlignment="1">
      <alignment horizontal="center"/>
    </xf>
    <xf numFmtId="0" fontId="3" fillId="0" borderId="0" xfId="0" applyFont="1"/>
    <xf numFmtId="0" fontId="8" fillId="0" borderId="0" xfId="0" applyFont="1"/>
    <xf numFmtId="0" fontId="3" fillId="0" borderId="0" xfId="0" applyFont="1" applyAlignment="1">
      <alignment horizontal="left"/>
    </xf>
    <xf numFmtId="0" fontId="8" fillId="0" borderId="0" xfId="0" applyFont="1" applyAlignment="1">
      <alignment horizontal="left"/>
    </xf>
    <xf numFmtId="0" fontId="5" fillId="0" borderId="0" xfId="0" applyFont="1" applyAlignment="1">
      <alignment horizontal="center"/>
    </xf>
    <xf numFmtId="0" fontId="12" fillId="0" borderId="0" xfId="0" applyFont="1" applyAlignment="1">
      <alignment horizontal="center"/>
    </xf>
    <xf numFmtId="0" fontId="11" fillId="0" borderId="0" xfId="0" applyFont="1" applyAlignment="1">
      <alignment horizontal="left" wrapText="1"/>
    </xf>
    <xf numFmtId="0" fontId="9" fillId="0" borderId="0" xfId="0" applyFont="1" applyAlignment="1">
      <alignment horizontal="left" wrapText="1"/>
    </xf>
    <xf numFmtId="0" fontId="5" fillId="0" borderId="0" xfId="0" applyFont="1" applyAlignment="1">
      <alignment horizontal="left"/>
    </xf>
    <xf numFmtId="0" fontId="15" fillId="0" borderId="0" xfId="0" applyFont="1"/>
    <xf numFmtId="0" fontId="5" fillId="0" borderId="0" xfId="0" applyFont="1" applyAlignment="1">
      <alignment vertical="top" wrapText="1"/>
    </xf>
    <xf numFmtId="0" fontId="11" fillId="0" borderId="0" xfId="0" applyFont="1" applyAlignment="1">
      <alignment vertical="top"/>
    </xf>
    <xf numFmtId="0" fontId="18" fillId="0" borderId="0" xfId="0" applyFont="1"/>
    <xf numFmtId="0" fontId="18" fillId="0" borderId="0" xfId="0" applyFont="1" applyAlignment="1">
      <alignment horizontal="center"/>
    </xf>
    <xf numFmtId="0" fontId="12" fillId="0" borderId="0" xfId="0" applyFont="1"/>
    <xf numFmtId="0" fontId="14" fillId="0" borderId="0" xfId="0" applyFont="1"/>
    <xf numFmtId="0" fontId="21" fillId="0" borderId="0" xfId="0" applyFont="1"/>
    <xf numFmtId="0" fontId="11" fillId="0" borderId="0" xfId="0" applyFont="1" applyAlignment="1">
      <alignment vertical="top" wrapText="1"/>
    </xf>
    <xf numFmtId="0" fontId="22" fillId="0" borderId="0" xfId="0" applyFont="1"/>
    <xf numFmtId="0" fontId="24" fillId="0" borderId="0" xfId="0" applyFont="1"/>
    <xf numFmtId="9" fontId="0" fillId="0" borderId="0" xfId="0" applyNumberFormat="1"/>
    <xf numFmtId="0" fontId="25" fillId="0" borderId="0" xfId="0" applyFont="1"/>
    <xf numFmtId="0" fontId="3" fillId="0" borderId="0" xfId="0" applyFont="1" applyAlignment="1">
      <alignment wrapText="1"/>
    </xf>
    <xf numFmtId="0" fontId="15" fillId="0" borderId="0" xfId="0" applyFont="1" applyAlignment="1">
      <alignment vertical="top" wrapText="1"/>
    </xf>
    <xf numFmtId="0" fontId="30" fillId="0" borderId="0" xfId="0" applyFont="1"/>
    <xf numFmtId="0" fontId="32" fillId="0" borderId="0" xfId="0" applyFont="1"/>
    <xf numFmtId="0" fontId="26" fillId="0" borderId="0" xfId="0" applyFont="1"/>
    <xf numFmtId="0" fontId="29" fillId="0" borderId="0" xfId="0" applyFont="1" applyAlignment="1">
      <alignment horizontal="left" vertical="top" wrapText="1"/>
    </xf>
    <xf numFmtId="0" fontId="15" fillId="0" borderId="0" xfId="0" applyFont="1" applyAlignment="1">
      <alignment horizontal="left" vertical="top" wrapText="1"/>
    </xf>
    <xf numFmtId="0" fontId="34" fillId="0" borderId="0" xfId="0" applyFont="1" applyAlignment="1">
      <alignment horizontal="left" vertical="top" wrapText="1"/>
    </xf>
    <xf numFmtId="0" fontId="33" fillId="0" borderId="0" xfId="0" applyFont="1" applyAlignment="1">
      <alignment horizontal="left" vertical="top" wrapText="1"/>
    </xf>
    <xf numFmtId="0" fontId="23" fillId="0" borderId="0" xfId="0" applyFont="1" applyAlignment="1">
      <alignment wrapText="1"/>
    </xf>
    <xf numFmtId="0" fontId="5" fillId="0" borderId="0" xfId="0" applyFont="1" applyAlignment="1">
      <alignment horizontal="center" vertical="center"/>
    </xf>
    <xf numFmtId="0" fontId="3" fillId="0" borderId="1" xfId="0" applyFont="1" applyBorder="1" applyAlignment="1">
      <alignment horizontal="center"/>
    </xf>
    <xf numFmtId="0" fontId="11" fillId="0" borderId="0" xfId="0" applyFont="1" applyAlignment="1">
      <alignment horizontal="center" wrapText="1"/>
    </xf>
    <xf numFmtId="164" fontId="7" fillId="0" borderId="0" xfId="0" applyNumberFormat="1" applyFont="1" applyAlignment="1">
      <alignment horizontal="center"/>
    </xf>
    <xf numFmtId="0" fontId="34" fillId="0" borderId="0" xfId="0" applyFont="1" applyAlignment="1">
      <alignment horizontal="center" vertical="top" wrapText="1"/>
    </xf>
    <xf numFmtId="0" fontId="2" fillId="0" borderId="8" xfId="0" applyFont="1" applyBorder="1" applyAlignment="1">
      <alignment horizontal="center" wrapText="1"/>
    </xf>
    <xf numFmtId="0" fontId="29" fillId="0" borderId="0" xfId="0" applyFont="1" applyAlignment="1">
      <alignment horizontal="center" vertical="top" wrapText="1"/>
    </xf>
    <xf numFmtId="0" fontId="17" fillId="0" borderId="9" xfId="0" applyFont="1" applyBorder="1" applyAlignment="1">
      <alignment horizontal="center" wrapText="1"/>
    </xf>
    <xf numFmtId="0" fontId="12" fillId="0" borderId="9" xfId="0" applyFont="1" applyBorder="1" applyAlignment="1">
      <alignment horizontal="center"/>
    </xf>
    <xf numFmtId="0" fontId="12" fillId="0" borderId="10" xfId="0" applyFont="1" applyBorder="1" applyAlignment="1">
      <alignment horizontal="center"/>
    </xf>
    <xf numFmtId="0" fontId="28" fillId="0" borderId="0" xfId="0" applyFont="1"/>
    <xf numFmtId="0" fontId="12" fillId="0" borderId="11" xfId="0" applyFont="1" applyBorder="1" applyAlignment="1">
      <alignment horizontal="center" vertical="center"/>
    </xf>
    <xf numFmtId="164" fontId="18" fillId="0" borderId="0" xfId="0" applyNumberFormat="1" applyFont="1" applyAlignment="1">
      <alignment horizontal="right"/>
    </xf>
    <xf numFmtId="164" fontId="18" fillId="0" borderId="0" xfId="0" applyNumberFormat="1" applyFont="1" applyAlignment="1">
      <alignment horizontal="center"/>
    </xf>
    <xf numFmtId="0" fontId="3" fillId="0" borderId="51" xfId="0" applyFont="1" applyBorder="1" applyAlignment="1">
      <alignment wrapText="1"/>
    </xf>
    <xf numFmtId="0" fontId="5" fillId="0" borderId="51" xfId="0" applyFont="1" applyBorder="1" applyAlignment="1">
      <alignment horizontal="center"/>
    </xf>
    <xf numFmtId="0" fontId="14" fillId="0" borderId="0" xfId="0" applyFont="1" applyAlignment="1">
      <alignment horizontal="center"/>
    </xf>
    <xf numFmtId="0" fontId="19" fillId="0" borderId="0" xfId="0" applyFont="1" applyAlignment="1">
      <alignment horizontal="center"/>
    </xf>
    <xf numFmtId="0" fontId="11" fillId="0" borderId="0" xfId="0" applyFont="1" applyAlignment="1">
      <alignment horizontal="center" vertical="top" wrapText="1"/>
    </xf>
    <xf numFmtId="0" fontId="7" fillId="0" borderId="0" xfId="0" applyFont="1" applyAlignment="1">
      <alignment horizontal="center" vertical="center"/>
    </xf>
    <xf numFmtId="0" fontId="5" fillId="0" borderId="0" xfId="0" applyFont="1" applyAlignment="1">
      <alignment horizontal="center" vertical="center" wrapText="1"/>
    </xf>
    <xf numFmtId="0" fontId="23" fillId="0" borderId="0" xfId="0" applyFont="1"/>
    <xf numFmtId="0" fontId="40" fillId="0" borderId="0" xfId="0" applyFont="1"/>
    <xf numFmtId="0" fontId="41" fillId="0" borderId="0" xfId="0" applyFont="1"/>
    <xf numFmtId="0" fontId="0" fillId="0" borderId="0" xfId="0" applyAlignment="1">
      <alignment horizontal="center" vertical="center"/>
    </xf>
    <xf numFmtId="0" fontId="34" fillId="0" borderId="0" xfId="0" applyFont="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167" fontId="0" fillId="0" borderId="0" xfId="0" applyNumberFormat="1" applyAlignment="1">
      <alignment horizontal="center" vertical="center"/>
    </xf>
    <xf numFmtId="0" fontId="5" fillId="0" borderId="32" xfId="0" applyFont="1" applyBorder="1" applyAlignment="1">
      <alignment horizontal="center" vertical="center"/>
    </xf>
    <xf numFmtId="167" fontId="17" fillId="0" borderId="39" xfId="0" applyNumberFormat="1" applyFont="1" applyBorder="1" applyAlignment="1">
      <alignment horizontal="center" vertical="center" wrapText="1"/>
    </xf>
    <xf numFmtId="0" fontId="5" fillId="0" borderId="9" xfId="0" applyFont="1" applyBorder="1" applyAlignment="1">
      <alignment horizontal="center"/>
    </xf>
    <xf numFmtId="0" fontId="15" fillId="0" borderId="0" xfId="0" applyFont="1" applyAlignment="1">
      <alignment horizontal="center" vertical="top" wrapText="1"/>
    </xf>
    <xf numFmtId="10" fontId="0" fillId="0" borderId="0" xfId="5" applyNumberFormat="1" applyFont="1"/>
    <xf numFmtId="2" fontId="0" fillId="0" borderId="0" xfId="0" applyNumberFormat="1"/>
    <xf numFmtId="0" fontId="32" fillId="0" borderId="0" xfId="0" applyFont="1" applyAlignment="1">
      <alignment horizontal="left"/>
    </xf>
    <xf numFmtId="0" fontId="17" fillId="0" borderId="8" xfId="0" applyFont="1" applyBorder="1" applyAlignment="1">
      <alignment horizontal="center" vertical="center"/>
    </xf>
    <xf numFmtId="0" fontId="5" fillId="0" borderId="12" xfId="0" applyFont="1" applyBorder="1" applyAlignment="1">
      <alignment vertical="center"/>
    </xf>
    <xf numFmtId="0" fontId="31" fillId="0" borderId="0" xfId="0" applyFont="1" applyAlignment="1">
      <alignment horizontal="center"/>
    </xf>
    <xf numFmtId="0" fontId="24" fillId="0" borderId="0" xfId="0" applyFont="1" applyAlignment="1">
      <alignment horizontal="center"/>
    </xf>
    <xf numFmtId="0" fontId="23" fillId="0" borderId="0" xfId="0" applyFont="1" applyAlignment="1">
      <alignment horizontal="center" wrapText="1"/>
    </xf>
    <xf numFmtId="0" fontId="12" fillId="0" borderId="9" xfId="0" applyFont="1" applyBorder="1" applyAlignment="1">
      <alignment horizontal="center" vertical="center"/>
    </xf>
    <xf numFmtId="0" fontId="7" fillId="0" borderId="12" xfId="0" applyFont="1" applyBorder="1" applyAlignment="1">
      <alignment horizontal="center"/>
    </xf>
    <xf numFmtId="0" fontId="7" fillId="0" borderId="34" xfId="0" applyFont="1" applyBorder="1" applyAlignment="1">
      <alignment horizontal="center"/>
    </xf>
    <xf numFmtId="0" fontId="39" fillId="0" borderId="9" xfId="0" applyFont="1" applyBorder="1" applyAlignment="1">
      <alignment horizontal="center" vertical="center"/>
    </xf>
    <xf numFmtId="0" fontId="5" fillId="0" borderId="34" xfId="0" applyFont="1" applyBorder="1" applyAlignment="1">
      <alignment vertical="center"/>
    </xf>
    <xf numFmtId="0" fontId="0" fillId="0" borderId="12" xfId="0" applyBorder="1" applyAlignment="1">
      <alignment horizontal="center"/>
    </xf>
    <xf numFmtId="0" fontId="0" fillId="0" borderId="12" xfId="0" applyBorder="1"/>
    <xf numFmtId="0" fontId="5" fillId="0" borderId="9" xfId="0" applyFont="1" applyBorder="1" applyAlignment="1">
      <alignment horizontal="center" vertical="center"/>
    </xf>
    <xf numFmtId="0" fontId="5" fillId="0" borderId="34" xfId="0" applyFont="1" applyBorder="1" applyAlignment="1">
      <alignment horizontal="center"/>
    </xf>
    <xf numFmtId="166" fontId="0" fillId="0" borderId="0" xfId="0" applyNumberFormat="1"/>
    <xf numFmtId="0" fontId="5" fillId="0" borderId="29" xfId="0" applyFont="1" applyBorder="1" applyAlignment="1">
      <alignment vertical="center"/>
    </xf>
    <xf numFmtId="0" fontId="7" fillId="0" borderId="9" xfId="0" applyFont="1" applyBorder="1" applyAlignment="1">
      <alignment horizontal="center"/>
    </xf>
    <xf numFmtId="4" fontId="0" fillId="0" borderId="0" xfId="0" applyNumberFormat="1"/>
    <xf numFmtId="2" fontId="7" fillId="0" borderId="49" xfId="0" applyNumberFormat="1" applyFont="1" applyBorder="1" applyAlignment="1">
      <alignment horizontal="center" vertical="center"/>
    </xf>
    <xf numFmtId="0" fontId="5" fillId="0" borderId="32" xfId="0" applyFont="1" applyBorder="1" applyAlignment="1">
      <alignment horizontal="center"/>
    </xf>
    <xf numFmtId="0" fontId="0" fillId="0" borderId="61" xfId="0" applyBorder="1" applyAlignment="1">
      <alignment horizontal="center"/>
    </xf>
    <xf numFmtId="168" fontId="0" fillId="0" borderId="0" xfId="5" applyNumberFormat="1" applyFont="1"/>
    <xf numFmtId="0" fontId="7" fillId="0" borderId="32" xfId="0" applyFont="1" applyBorder="1"/>
    <xf numFmtId="0" fontId="49" fillId="0" borderId="0" xfId="0" applyFont="1"/>
    <xf numFmtId="0" fontId="1" fillId="0" borderId="0" xfId="0" applyFont="1"/>
    <xf numFmtId="0" fontId="15" fillId="0" borderId="63" xfId="0" applyFont="1" applyBorder="1"/>
    <xf numFmtId="0" fontId="7" fillId="0" borderId="3" xfId="0" applyFont="1" applyBorder="1" applyAlignment="1">
      <alignment horizontal="center"/>
    </xf>
    <xf numFmtId="0" fontId="3" fillId="0" borderId="3"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9" xfId="0" applyFont="1" applyBorder="1" applyAlignment="1">
      <alignment horizontal="center" vertical="center"/>
    </xf>
    <xf numFmtId="0" fontId="3" fillId="0" borderId="3" xfId="0" applyFont="1" applyBorder="1" applyAlignment="1">
      <alignment horizontal="center" wrapText="1"/>
    </xf>
    <xf numFmtId="0" fontId="12" fillId="0" borderId="3" xfId="0" applyFont="1" applyBorder="1" applyAlignment="1">
      <alignment horizontal="center" vertical="center" wrapText="1"/>
    </xf>
    <xf numFmtId="0" fontId="21" fillId="0" borderId="0" xfId="0" applyFont="1" applyAlignment="1">
      <alignment horizontal="center"/>
    </xf>
    <xf numFmtId="0" fontId="12" fillId="0" borderId="9" xfId="0" applyFont="1" applyBorder="1" applyAlignment="1">
      <alignment horizontal="center" wrapText="1"/>
    </xf>
    <xf numFmtId="0" fontId="10" fillId="0" borderId="0" xfId="0" applyFont="1" applyAlignment="1">
      <alignment horizontal="center"/>
    </xf>
    <xf numFmtId="0" fontId="12" fillId="0" borderId="3" xfId="0" applyFont="1" applyBorder="1" applyAlignment="1">
      <alignment horizontal="center"/>
    </xf>
    <xf numFmtId="0" fontId="12" fillId="0" borderId="3" xfId="0" applyFont="1" applyBorder="1" applyAlignment="1">
      <alignment horizontal="center" wrapText="1"/>
    </xf>
    <xf numFmtId="0" fontId="5" fillId="0" borderId="12" xfId="0" applyFont="1" applyBorder="1"/>
    <xf numFmtId="0" fontId="41" fillId="0" borderId="0" xfId="0" applyFont="1" applyAlignment="1">
      <alignment vertical="center"/>
    </xf>
    <xf numFmtId="9" fontId="0" fillId="0" borderId="0" xfId="5" applyFont="1" applyAlignment="1">
      <alignment horizontal="center"/>
    </xf>
    <xf numFmtId="0" fontId="23" fillId="0" borderId="50" xfId="0" applyFont="1" applyBorder="1" applyAlignment="1">
      <alignment wrapText="1"/>
    </xf>
    <xf numFmtId="0" fontId="0" fillId="0" borderId="65" xfId="0" applyBorder="1"/>
    <xf numFmtId="0" fontId="41" fillId="0" borderId="66" xfId="0" applyFont="1" applyBorder="1"/>
    <xf numFmtId="0" fontId="41" fillId="0" borderId="65" xfId="0" applyFont="1" applyBorder="1"/>
    <xf numFmtId="0" fontId="15" fillId="0" borderId="28" xfId="0" applyFont="1" applyBorder="1" applyAlignment="1">
      <alignment horizontal="right"/>
    </xf>
    <xf numFmtId="0" fontId="15" fillId="0" borderId="28" xfId="0" applyFont="1" applyBorder="1" applyAlignment="1">
      <alignment horizontal="center"/>
    </xf>
    <xf numFmtId="0" fontId="15" fillId="0" borderId="28" xfId="0" applyFont="1" applyBorder="1"/>
    <xf numFmtId="2" fontId="15" fillId="0" borderId="28" xfId="0" applyNumberFormat="1" applyFont="1" applyBorder="1" applyAlignment="1">
      <alignment horizontal="center"/>
    </xf>
    <xf numFmtId="0" fontId="12" fillId="0" borderId="42" xfId="0" applyFont="1" applyBorder="1" applyAlignment="1">
      <alignment horizontal="center"/>
    </xf>
    <xf numFmtId="0" fontId="23" fillId="0" borderId="0" xfId="0" applyFont="1" applyAlignment="1">
      <alignment horizontal="left" wrapText="1"/>
    </xf>
    <xf numFmtId="0" fontId="52" fillId="0" borderId="0" xfId="0" applyFont="1" applyAlignment="1">
      <alignment vertical="top"/>
    </xf>
    <xf numFmtId="0" fontId="5" fillId="0" borderId="11" xfId="0" applyFont="1" applyBorder="1" applyAlignment="1">
      <alignment horizontal="center"/>
    </xf>
    <xf numFmtId="0" fontId="53" fillId="0" borderId="0" xfId="0" applyFont="1" applyAlignment="1">
      <alignment horizontal="center"/>
    </xf>
    <xf numFmtId="0" fontId="5" fillId="0" borderId="37" xfId="0" applyFont="1" applyBorder="1" applyAlignment="1">
      <alignment vertical="center"/>
    </xf>
    <xf numFmtId="0" fontId="0" fillId="0" borderId="29" xfId="0" applyBorder="1"/>
    <xf numFmtId="0" fontId="0" fillId="0" borderId="37" xfId="0" applyBorder="1"/>
    <xf numFmtId="0" fontId="54" fillId="3" borderId="0" xfId="0" applyFont="1" applyFill="1"/>
    <xf numFmtId="0" fontId="15" fillId="0" borderId="28" xfId="0" applyFont="1" applyBorder="1" applyAlignment="1">
      <alignment wrapText="1"/>
    </xf>
    <xf numFmtId="0" fontId="20" fillId="2" borderId="1" xfId="0" applyFont="1" applyFill="1" applyBorder="1" applyAlignment="1">
      <alignment horizontal="center" wrapText="1"/>
    </xf>
    <xf numFmtId="0" fontId="7" fillId="0" borderId="68" xfId="0" applyFont="1" applyBorder="1" applyAlignment="1">
      <alignment horizontal="center"/>
    </xf>
    <xf numFmtId="0" fontId="7" fillId="0" borderId="49" xfId="0" applyFont="1" applyBorder="1" applyAlignment="1">
      <alignment horizontal="center"/>
    </xf>
    <xf numFmtId="0" fontId="5" fillId="4" borderId="39" xfId="0" applyFont="1" applyFill="1" applyBorder="1" applyAlignment="1">
      <alignment horizontal="center"/>
    </xf>
    <xf numFmtId="0" fontId="5" fillId="4" borderId="31" xfId="0" applyFont="1" applyFill="1" applyBorder="1" applyAlignment="1">
      <alignment horizontal="center"/>
    </xf>
    <xf numFmtId="0" fontId="5" fillId="4" borderId="13" xfId="0" applyFont="1" applyFill="1" applyBorder="1" applyAlignment="1">
      <alignment horizontal="center"/>
    </xf>
    <xf numFmtId="0" fontId="5" fillId="4" borderId="69" xfId="0" applyFont="1" applyFill="1" applyBorder="1" applyAlignment="1">
      <alignment horizontal="center"/>
    </xf>
    <xf numFmtId="0" fontId="5" fillId="4" borderId="46" xfId="0" applyFont="1" applyFill="1" applyBorder="1" applyAlignment="1">
      <alignment horizontal="center"/>
    </xf>
    <xf numFmtId="0" fontId="5" fillId="4" borderId="20" xfId="0" applyFont="1" applyFill="1" applyBorder="1" applyAlignment="1">
      <alignment horizontal="center"/>
    </xf>
    <xf numFmtId="0" fontId="5" fillId="4" borderId="26" xfId="0" applyFont="1" applyFill="1" applyBorder="1" applyAlignment="1">
      <alignment horizontal="center"/>
    </xf>
    <xf numFmtId="0" fontId="5" fillId="4" borderId="53" xfId="0" applyFont="1" applyFill="1" applyBorder="1" applyAlignment="1">
      <alignment horizontal="center"/>
    </xf>
    <xf numFmtId="0" fontId="55" fillId="0" borderId="0" xfId="0" applyFont="1"/>
    <xf numFmtId="0" fontId="3" fillId="4" borderId="48" xfId="0" applyFont="1" applyFill="1" applyBorder="1"/>
    <xf numFmtId="0" fontId="7" fillId="0" borderId="8" xfId="0" applyFont="1" applyBorder="1" applyAlignment="1">
      <alignment horizontal="center" vertical="center"/>
    </xf>
    <xf numFmtId="0" fontId="3" fillId="4" borderId="21" xfId="0" applyFont="1" applyFill="1" applyBorder="1"/>
    <xf numFmtId="0" fontId="20" fillId="4" borderId="1" xfId="0" applyFont="1" applyFill="1" applyBorder="1" applyAlignment="1">
      <alignment horizontal="center" vertical="top" wrapText="1"/>
    </xf>
    <xf numFmtId="0" fontId="5" fillId="0" borderId="34" xfId="0" applyFont="1" applyBorder="1" applyAlignment="1">
      <alignment horizontal="center" vertical="center"/>
    </xf>
    <xf numFmtId="0" fontId="0" fillId="0" borderId="0" xfId="0" applyAlignment="1">
      <alignment vertical="center"/>
    </xf>
    <xf numFmtId="0" fontId="7" fillId="0" borderId="11" xfId="0" applyFont="1" applyBorder="1" applyAlignment="1">
      <alignment horizontal="center" vertical="center"/>
    </xf>
    <xf numFmtId="0" fontId="7" fillId="0" borderId="32" xfId="0" applyFont="1" applyBorder="1" applyAlignment="1">
      <alignment horizontal="left"/>
    </xf>
    <xf numFmtId="2" fontId="7" fillId="0" borderId="32" xfId="0" applyNumberFormat="1" applyFont="1" applyBorder="1" applyAlignment="1">
      <alignment horizontal="center" vertical="center"/>
    </xf>
    <xf numFmtId="0" fontId="58" fillId="0" borderId="0" xfId="0" applyFont="1"/>
    <xf numFmtId="165" fontId="0" fillId="0" borderId="0" xfId="0" applyNumberFormat="1"/>
    <xf numFmtId="0" fontId="5" fillId="0" borderId="0" xfId="0" applyFont="1" applyAlignment="1">
      <alignment horizontal="left" vertical="top" wrapText="1"/>
    </xf>
    <xf numFmtId="168" fontId="5" fillId="0" borderId="0" xfId="0" applyNumberFormat="1" applyFont="1"/>
    <xf numFmtId="168" fontId="5" fillId="0" borderId="0" xfId="5" applyNumberFormat="1" applyFont="1"/>
    <xf numFmtId="168" fontId="7" fillId="0" borderId="0" xfId="0" applyNumberFormat="1" applyFont="1"/>
    <xf numFmtId="168" fontId="7" fillId="0" borderId="0" xfId="5" applyNumberFormat="1" applyFont="1"/>
    <xf numFmtId="0" fontId="7" fillId="0" borderId="10" xfId="0" applyFont="1" applyBorder="1" applyAlignment="1">
      <alignment horizontal="center"/>
    </xf>
    <xf numFmtId="0" fontId="17" fillId="0" borderId="43" xfId="0" applyFont="1" applyBorder="1" applyAlignment="1">
      <alignment horizontal="center" vertical="center"/>
    </xf>
    <xf numFmtId="0" fontId="16" fillId="0" borderId="0" xfId="1"/>
    <xf numFmtId="0" fontId="60" fillId="0" borderId="28" xfId="0" applyFont="1" applyBorder="1" applyAlignment="1">
      <alignment horizontal="left" vertical="top" wrapText="1"/>
    </xf>
    <xf numFmtId="0" fontId="60" fillId="0" borderId="66" xfId="0" applyFont="1" applyBorder="1" applyAlignment="1">
      <alignment horizontal="left" vertical="top" wrapText="1"/>
    </xf>
    <xf numFmtId="0" fontId="60" fillId="0" borderId="28" xfId="0" applyFont="1" applyBorder="1" applyAlignment="1">
      <alignment horizontal="right" vertical="top" wrapText="1"/>
    </xf>
    <xf numFmtId="0" fontId="60" fillId="0" borderId="0" xfId="0" applyFont="1" applyAlignment="1">
      <alignment horizontal="left" vertical="top" wrapText="1"/>
    </xf>
    <xf numFmtId="0" fontId="27" fillId="0" borderId="0" xfId="0" applyFont="1" applyAlignment="1">
      <alignment horizontal="center"/>
    </xf>
    <xf numFmtId="0" fontId="28" fillId="0" borderId="0" xfId="0" applyFont="1" applyAlignment="1">
      <alignment vertical="top"/>
    </xf>
    <xf numFmtId="0" fontId="35" fillId="0" borderId="66" xfId="0" applyFont="1" applyBorder="1"/>
    <xf numFmtId="0" fontId="5" fillId="0" borderId="65" xfId="0" applyFont="1" applyBorder="1" applyAlignment="1">
      <alignment horizontal="center" vertical="center" wrapText="1"/>
    </xf>
    <xf numFmtId="0" fontId="0" fillId="0" borderId="66" xfId="0" applyBorder="1"/>
    <xf numFmtId="0" fontId="5" fillId="0" borderId="66" xfId="0" applyFont="1" applyBorder="1" applyAlignment="1">
      <alignment horizontal="left"/>
    </xf>
    <xf numFmtId="0" fontId="0" fillId="0" borderId="65" xfId="0" applyBorder="1" applyAlignment="1">
      <alignment horizontal="center" vertical="center"/>
    </xf>
    <xf numFmtId="0" fontId="14" fillId="0" borderId="66" xfId="0" applyFont="1" applyBorder="1"/>
    <xf numFmtId="0" fontId="5" fillId="0" borderId="66" xfId="0" applyFont="1" applyBorder="1"/>
    <xf numFmtId="0" fontId="55" fillId="0" borderId="66" xfId="0" applyFont="1" applyBorder="1"/>
    <xf numFmtId="0" fontId="7" fillId="0" borderId="9" xfId="0" applyFont="1" applyBorder="1" applyAlignment="1">
      <alignment horizontal="center" vertical="center"/>
    </xf>
    <xf numFmtId="0" fontId="17" fillId="0" borderId="8" xfId="0" applyFont="1" applyBorder="1" applyAlignment="1">
      <alignment horizontal="center" vertical="center" wrapText="1"/>
    </xf>
    <xf numFmtId="0" fontId="7" fillId="0" borderId="43" xfId="0" applyFont="1" applyBorder="1" applyAlignment="1">
      <alignment horizontal="center" vertical="center"/>
    </xf>
    <xf numFmtId="0" fontId="17" fillId="0" borderId="10" xfId="0" applyFont="1" applyBorder="1" applyAlignment="1">
      <alignment horizontal="center" vertical="center"/>
    </xf>
    <xf numFmtId="0" fontId="5" fillId="0" borderId="38" xfId="0" applyFont="1" applyBorder="1" applyAlignment="1">
      <alignment horizontal="center"/>
    </xf>
    <xf numFmtId="167" fontId="7" fillId="0" borderId="17" xfId="0" applyNumberFormat="1" applyFont="1" applyBorder="1" applyAlignment="1">
      <alignment horizontal="center" vertical="center"/>
    </xf>
    <xf numFmtId="0" fontId="12" fillId="0" borderId="0" xfId="0" applyFont="1" applyAlignment="1">
      <alignment horizontal="center" vertical="center"/>
    </xf>
    <xf numFmtId="0" fontId="7" fillId="0" borderId="17" xfId="0" applyFont="1" applyBorder="1" applyAlignment="1">
      <alignment horizontal="center" vertical="center"/>
    </xf>
    <xf numFmtId="0" fontId="17" fillId="0" borderId="18" xfId="0" applyFont="1" applyBorder="1" applyAlignment="1">
      <alignment horizontal="center"/>
    </xf>
    <xf numFmtId="0" fontId="17" fillId="0" borderId="9" xfId="0" applyFont="1" applyBorder="1" applyAlignment="1">
      <alignment horizontal="center" vertical="center"/>
    </xf>
    <xf numFmtId="0" fontId="0" fillId="0" borderId="43" xfId="0" applyBorder="1" applyAlignment="1">
      <alignment horizontal="center"/>
    </xf>
    <xf numFmtId="0" fontId="0" fillId="0" borderId="77" xfId="0" applyBorder="1" applyAlignment="1">
      <alignment horizontal="center"/>
    </xf>
    <xf numFmtId="0" fontId="0" fillId="0" borderId="77" xfId="0" applyBorder="1"/>
    <xf numFmtId="2" fontId="5" fillId="4" borderId="28" xfId="0" applyNumberFormat="1" applyFont="1" applyFill="1" applyBorder="1" applyAlignment="1">
      <alignment horizontal="center"/>
    </xf>
    <xf numFmtId="2" fontId="5" fillId="4" borderId="52" xfId="0" applyNumberFormat="1" applyFont="1" applyFill="1" applyBorder="1" applyAlignment="1">
      <alignment horizontal="center"/>
    </xf>
    <xf numFmtId="0" fontId="0" fillId="0" borderId="47" xfId="0" applyBorder="1"/>
    <xf numFmtId="0" fontId="0" fillId="0" borderId="28" xfId="0" applyBorder="1"/>
    <xf numFmtId="0" fontId="0" fillId="0" borderId="13" xfId="0" applyBorder="1"/>
    <xf numFmtId="0" fontId="17" fillId="0" borderId="0" xfId="0" applyFont="1" applyAlignment="1">
      <alignment horizontal="center"/>
    </xf>
    <xf numFmtId="0" fontId="17" fillId="0" borderId="77" xfId="0" applyFont="1" applyBorder="1" applyAlignment="1">
      <alignment horizontal="center"/>
    </xf>
    <xf numFmtId="0" fontId="7" fillId="0" borderId="77" xfId="0" applyFont="1" applyBorder="1" applyAlignment="1">
      <alignment horizontal="center" vertical="center"/>
    </xf>
    <xf numFmtId="0" fontId="7" fillId="0" borderId="28" xfId="0" applyFont="1" applyBorder="1" applyAlignment="1">
      <alignment horizontal="center" vertical="center"/>
    </xf>
    <xf numFmtId="0" fontId="17" fillId="0" borderId="28" xfId="0" applyFont="1" applyBorder="1" applyAlignment="1">
      <alignment horizontal="center"/>
    </xf>
    <xf numFmtId="4" fontId="7" fillId="0" borderId="28" xfId="0" applyNumberFormat="1" applyFont="1" applyBorder="1" applyAlignment="1">
      <alignment vertical="center"/>
    </xf>
    <xf numFmtId="0" fontId="5" fillId="0" borderId="28" xfId="0" applyFont="1" applyBorder="1" applyAlignment="1">
      <alignment horizontal="center"/>
    </xf>
    <xf numFmtId="0" fontId="7" fillId="0" borderId="70" xfId="0" applyFont="1" applyBorder="1" applyAlignment="1">
      <alignment horizontal="center" vertical="center"/>
    </xf>
    <xf numFmtId="0" fontId="17" fillId="0" borderId="10" xfId="0" applyFont="1" applyBorder="1" applyAlignment="1">
      <alignment horizontal="center"/>
    </xf>
    <xf numFmtId="0" fontId="5" fillId="0" borderId="42" xfId="0" applyFont="1" applyBorder="1" applyAlignment="1">
      <alignment horizontal="center"/>
    </xf>
    <xf numFmtId="0" fontId="5" fillId="0" borderId="0" xfId="0" applyFont="1" applyAlignment="1">
      <alignment vertical="center"/>
    </xf>
    <xf numFmtId="0" fontId="7" fillId="0" borderId="20" xfId="0" applyFont="1" applyBorder="1" applyAlignment="1">
      <alignment horizontal="center" vertical="center"/>
    </xf>
    <xf numFmtId="0" fontId="17" fillId="0" borderId="21" xfId="0" applyFont="1" applyBorder="1" applyAlignment="1">
      <alignment horizontal="center"/>
    </xf>
    <xf numFmtId="167" fontId="7" fillId="0" borderId="20" xfId="0" applyNumberFormat="1" applyFont="1" applyBorder="1" applyAlignment="1">
      <alignment horizontal="center" vertical="center"/>
    </xf>
    <xf numFmtId="0" fontId="17" fillId="0" borderId="78" xfId="0" applyFont="1" applyBorder="1" applyAlignment="1">
      <alignment horizontal="center"/>
    </xf>
    <xf numFmtId="0" fontId="17" fillId="0" borderId="39" xfId="0" applyFont="1" applyBorder="1" applyAlignment="1">
      <alignment horizontal="center" vertical="center"/>
    </xf>
    <xf numFmtId="0" fontId="12" fillId="0" borderId="13" xfId="0" applyFont="1" applyBorder="1" applyAlignment="1">
      <alignment horizontal="center" vertical="center"/>
    </xf>
    <xf numFmtId="0" fontId="7" fillId="0" borderId="39" xfId="0" applyFont="1" applyBorder="1" applyAlignment="1">
      <alignment horizontal="center" vertical="center"/>
    </xf>
    <xf numFmtId="0" fontId="5" fillId="0" borderId="13" xfId="0" applyFont="1" applyBorder="1" applyAlignment="1">
      <alignment horizontal="center"/>
    </xf>
    <xf numFmtId="0" fontId="5" fillId="0" borderId="13" xfId="0" applyFont="1" applyBorder="1" applyAlignment="1">
      <alignment horizontal="center" vertical="center"/>
    </xf>
    <xf numFmtId="0" fontId="12" fillId="0" borderId="42" xfId="0" applyFont="1" applyBorder="1" applyAlignment="1">
      <alignment horizontal="center" vertical="center"/>
    </xf>
    <xf numFmtId="0" fontId="60" fillId="0" borderId="0" xfId="0" applyFont="1" applyAlignment="1">
      <alignment horizontal="center" vertical="center" wrapText="1"/>
    </xf>
    <xf numFmtId="0" fontId="17" fillId="0" borderId="0" xfId="0" applyFont="1" applyAlignment="1">
      <alignment horizontal="center" vertical="center"/>
    </xf>
    <xf numFmtId="0" fontId="0" fillId="0" borderId="49" xfId="0" applyBorder="1"/>
    <xf numFmtId="0" fontId="17" fillId="0" borderId="32" xfId="0" applyFont="1" applyBorder="1" applyAlignment="1">
      <alignment horizontal="center" vertical="center"/>
    </xf>
    <xf numFmtId="0" fontId="7" fillId="0" borderId="80" xfId="0" applyFont="1" applyBorder="1" applyAlignment="1">
      <alignment horizontal="center" vertical="center"/>
    </xf>
    <xf numFmtId="0" fontId="5" fillId="0" borderId="49" xfId="0" applyFont="1" applyBorder="1"/>
    <xf numFmtId="0" fontId="17" fillId="0" borderId="32" xfId="0" applyFont="1" applyBorder="1" applyAlignment="1">
      <alignment horizontal="center"/>
    </xf>
    <xf numFmtId="0" fontId="0" fillId="0" borderId="71" xfId="0" applyBorder="1"/>
    <xf numFmtId="0" fontId="0" fillId="0" borderId="79" xfId="0" applyBorder="1"/>
    <xf numFmtId="0" fontId="0" fillId="0" borderId="9" xfId="0" applyBorder="1"/>
    <xf numFmtId="0" fontId="0" fillId="0" borderId="39" xfId="0" applyBorder="1" applyAlignment="1">
      <alignment horizontal="center" vertical="center"/>
    </xf>
    <xf numFmtId="4" fontId="12" fillId="4" borderId="7" xfId="0" applyNumberFormat="1" applyFont="1" applyFill="1" applyBorder="1" applyAlignment="1">
      <alignment vertical="center"/>
    </xf>
    <xf numFmtId="4" fontId="12" fillId="4" borderId="40" xfId="0" applyNumberFormat="1" applyFont="1" applyFill="1" applyBorder="1" applyAlignment="1">
      <alignment vertical="center"/>
    </xf>
    <xf numFmtId="167" fontId="0" fillId="0" borderId="43" xfId="0" applyNumberFormat="1" applyBorder="1" applyAlignment="1">
      <alignment horizontal="center" vertical="center"/>
    </xf>
    <xf numFmtId="0" fontId="0" fillId="0" borderId="39" xfId="0" applyBorder="1" applyAlignment="1">
      <alignment horizontal="center"/>
    </xf>
    <xf numFmtId="0" fontId="5" fillId="0" borderId="8" xfId="0" applyFont="1" applyBorder="1" applyAlignment="1">
      <alignment horizontal="center" vertical="center"/>
    </xf>
    <xf numFmtId="167" fontId="7" fillId="0" borderId="43" xfId="0" applyNumberFormat="1" applyFont="1" applyBorder="1" applyAlignment="1">
      <alignment horizontal="center" vertical="center"/>
    </xf>
    <xf numFmtId="0" fontId="17" fillId="0" borderId="39" xfId="0" applyFont="1" applyBorder="1" applyAlignment="1">
      <alignment horizontal="center"/>
    </xf>
    <xf numFmtId="2" fontId="5" fillId="4" borderId="3" xfId="0" applyNumberFormat="1" applyFont="1" applyFill="1" applyBorder="1" applyAlignment="1">
      <alignment horizontal="center"/>
    </xf>
    <xf numFmtId="2" fontId="5" fillId="4" borderId="5" xfId="0" applyNumberFormat="1" applyFont="1" applyFill="1" applyBorder="1" applyAlignment="1">
      <alignment horizontal="center"/>
    </xf>
    <xf numFmtId="0" fontId="17" fillId="0" borderId="30" xfId="0" applyFont="1" applyBorder="1" applyAlignment="1">
      <alignment horizontal="center"/>
    </xf>
    <xf numFmtId="0" fontId="7" fillId="0" borderId="45" xfId="0" applyFont="1" applyBorder="1" applyAlignment="1">
      <alignment horizontal="center" vertical="center"/>
    </xf>
    <xf numFmtId="4" fontId="0" fillId="0" borderId="13" xfId="0" applyNumberFormat="1" applyBorder="1" applyAlignment="1">
      <alignment horizontal="center" vertical="center"/>
    </xf>
    <xf numFmtId="4" fontId="12" fillId="0" borderId="71" xfId="0" applyNumberFormat="1" applyFont="1" applyBorder="1" applyAlignment="1">
      <alignment horizontal="center" vertical="center"/>
    </xf>
    <xf numFmtId="167" fontId="12" fillId="0" borderId="49" xfId="0" applyNumberFormat="1" applyFont="1" applyBorder="1" applyAlignment="1">
      <alignment horizontal="center"/>
    </xf>
    <xf numFmtId="0" fontId="7" fillId="0" borderId="39" xfId="0" applyFont="1" applyBorder="1" applyAlignment="1">
      <alignment horizontal="center"/>
    </xf>
    <xf numFmtId="167" fontId="5" fillId="0" borderId="43" xfId="0" applyNumberFormat="1" applyFont="1" applyBorder="1" applyAlignment="1">
      <alignment horizontal="center" vertical="center"/>
    </xf>
    <xf numFmtId="0" fontId="5" fillId="0" borderId="39" xfId="0" applyFont="1" applyBorder="1"/>
    <xf numFmtId="167" fontId="12" fillId="0" borderId="0" xfId="0" applyNumberFormat="1" applyFont="1" applyAlignment="1">
      <alignment horizontal="center" vertical="center"/>
    </xf>
    <xf numFmtId="167" fontId="12" fillId="0" borderId="39" xfId="0" applyNumberFormat="1" applyFont="1" applyBorder="1" applyAlignment="1">
      <alignment horizontal="center" vertical="center"/>
    </xf>
    <xf numFmtId="167" fontId="12" fillId="0" borderId="73" xfId="0" applyNumberFormat="1" applyFont="1" applyBorder="1" applyAlignment="1">
      <alignment horizontal="center" vertical="center"/>
    </xf>
    <xf numFmtId="4" fontId="7" fillId="0" borderId="0" xfId="0" applyNumberFormat="1" applyFont="1" applyAlignment="1">
      <alignment horizontal="center" vertical="center"/>
    </xf>
    <xf numFmtId="0" fontId="12" fillId="0" borderId="43" xfId="0" applyFont="1" applyBorder="1" applyAlignment="1">
      <alignment horizontal="center"/>
    </xf>
    <xf numFmtId="0" fontId="17" fillId="0" borderId="47" xfId="0" applyFont="1" applyBorder="1" applyAlignment="1">
      <alignment horizontal="center" vertical="center" wrapText="1"/>
    </xf>
    <xf numFmtId="0" fontId="17" fillId="0" borderId="47" xfId="0" applyFont="1" applyBorder="1" applyAlignment="1">
      <alignment horizontal="center" wrapText="1"/>
    </xf>
    <xf numFmtId="0" fontId="17" fillId="0" borderId="47" xfId="0" applyFont="1" applyBorder="1" applyAlignment="1">
      <alignment horizontal="center"/>
    </xf>
    <xf numFmtId="0" fontId="17" fillId="0" borderId="0" xfId="0" applyFont="1"/>
    <xf numFmtId="0" fontId="12" fillId="0" borderId="38" xfId="0" applyFont="1" applyBorder="1" applyAlignment="1">
      <alignment horizontal="center" vertical="center"/>
    </xf>
    <xf numFmtId="0" fontId="12" fillId="0" borderId="34" xfId="0" applyFont="1" applyBorder="1" applyAlignment="1">
      <alignment horizontal="center" vertical="center"/>
    </xf>
    <xf numFmtId="0" fontId="12" fillId="0" borderId="37" xfId="0" applyFont="1" applyBorder="1" applyAlignment="1">
      <alignment horizontal="center" vertical="center"/>
    </xf>
    <xf numFmtId="0" fontId="3" fillId="0" borderId="59"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166" fontId="5" fillId="0" borderId="0" xfId="0" applyNumberFormat="1" applyFont="1" applyAlignment="1">
      <alignment horizontal="center" vertical="center"/>
    </xf>
    <xf numFmtId="0" fontId="17" fillId="0" borderId="8" xfId="0" applyFont="1" applyBorder="1" applyAlignment="1">
      <alignment horizontal="center" wrapText="1"/>
    </xf>
    <xf numFmtId="0" fontId="12" fillId="0" borderId="12" xfId="0" applyFont="1" applyBorder="1" applyAlignment="1">
      <alignment horizontal="center" vertical="center"/>
    </xf>
    <xf numFmtId="0" fontId="12" fillId="0" borderId="29" xfId="0" applyFont="1" applyBorder="1" applyAlignment="1">
      <alignment horizontal="center" vertical="center"/>
    </xf>
    <xf numFmtId="0" fontId="5" fillId="0" borderId="10" xfId="0" applyFont="1" applyBorder="1" applyAlignment="1">
      <alignment horizontal="center"/>
    </xf>
    <xf numFmtId="0" fontId="5" fillId="0" borderId="1" xfId="0" applyFont="1" applyBorder="1" applyAlignment="1">
      <alignment horizontal="center"/>
    </xf>
    <xf numFmtId="4" fontId="0" fillId="0" borderId="0" xfId="0" applyNumberFormat="1" applyAlignment="1">
      <alignment horizontal="center" vertical="center"/>
    </xf>
    <xf numFmtId="4" fontId="60" fillId="0" borderId="0" xfId="0" applyNumberFormat="1" applyFont="1" applyAlignment="1">
      <alignment horizontal="left" vertical="top" wrapText="1"/>
    </xf>
    <xf numFmtId="4" fontId="15" fillId="0" borderId="0" xfId="0" applyNumberFormat="1" applyFont="1" applyAlignment="1">
      <alignment vertical="top" wrapText="1"/>
    </xf>
    <xf numFmtId="4" fontId="17" fillId="0" borderId="43" xfId="0" applyNumberFormat="1" applyFont="1" applyBorder="1" applyAlignment="1">
      <alignment horizontal="center" vertical="center" wrapText="1"/>
    </xf>
    <xf numFmtId="4" fontId="17" fillId="0" borderId="47" xfId="0" applyNumberFormat="1" applyFont="1" applyBorder="1" applyAlignment="1">
      <alignment horizontal="center" vertical="center" wrapText="1"/>
    </xf>
    <xf numFmtId="4" fontId="0" fillId="0" borderId="32" xfId="0" applyNumberFormat="1" applyBorder="1"/>
    <xf numFmtId="0" fontId="25" fillId="0" borderId="0" xfId="0" applyFont="1" applyAlignment="1">
      <alignment horizontal="center"/>
    </xf>
    <xf numFmtId="0" fontId="12" fillId="0" borderId="13" xfId="0" applyFont="1" applyBorder="1" applyAlignment="1">
      <alignment horizontal="center"/>
    </xf>
    <xf numFmtId="0" fontId="7" fillId="0" borderId="35" xfId="0" applyFont="1" applyBorder="1" applyAlignment="1">
      <alignment horizontal="center" vertical="center"/>
    </xf>
    <xf numFmtId="0" fontId="3" fillId="4" borderId="26" xfId="0" applyFont="1" applyFill="1" applyBorder="1"/>
    <xf numFmtId="165" fontId="3" fillId="0" borderId="18" xfId="0" applyNumberFormat="1" applyFont="1" applyBorder="1" applyAlignment="1">
      <alignment horizontal="center" vertical="center"/>
    </xf>
    <xf numFmtId="0" fontId="17" fillId="0" borderId="3" xfId="0" applyFont="1" applyBorder="1" applyAlignment="1">
      <alignment horizontal="center" wrapText="1"/>
    </xf>
    <xf numFmtId="167" fontId="0" fillId="0" borderId="0" xfId="0" applyNumberFormat="1"/>
    <xf numFmtId="2" fontId="14" fillId="0" borderId="0" xfId="0" applyNumberFormat="1" applyFont="1" applyAlignment="1">
      <alignment horizontal="center"/>
    </xf>
    <xf numFmtId="0" fontId="0" fillId="0" borderId="0" xfId="0" applyAlignment="1">
      <alignment wrapText="1"/>
    </xf>
    <xf numFmtId="0" fontId="5" fillId="0" borderId="3" xfId="0" applyFont="1" applyBorder="1" applyAlignment="1">
      <alignment horizontal="left"/>
    </xf>
    <xf numFmtId="0" fontId="5" fillId="0" borderId="7" xfId="0" applyFont="1" applyBorder="1" applyAlignment="1">
      <alignment horizontal="left"/>
    </xf>
    <xf numFmtId="0" fontId="5" fillId="0" borderId="1" xfId="0" applyFont="1" applyBorder="1" applyAlignment="1">
      <alignment horizontal="left"/>
    </xf>
    <xf numFmtId="0" fontId="5" fillId="0" borderId="1" xfId="0" applyFont="1" applyBorder="1"/>
    <xf numFmtId="0" fontId="12" fillId="0" borderId="1" xfId="0" applyFont="1" applyBorder="1"/>
    <xf numFmtId="0" fontId="71" fillId="0" borderId="0" xfId="0" applyFont="1"/>
    <xf numFmtId="0" fontId="72" fillId="0" borderId="0" xfId="0" applyFont="1"/>
    <xf numFmtId="165" fontId="73" fillId="0" borderId="0" xfId="0" applyNumberFormat="1" applyFont="1" applyAlignment="1">
      <alignment horizontal="center"/>
    </xf>
    <xf numFmtId="0" fontId="72" fillId="0" borderId="0" xfId="0" applyFont="1" applyAlignment="1">
      <alignment horizontal="left"/>
    </xf>
    <xf numFmtId="0" fontId="73" fillId="0" borderId="0" xfId="0" applyFont="1"/>
    <xf numFmtId="165" fontId="5" fillId="0" borderId="1" xfId="0" applyNumberFormat="1" applyFont="1" applyBorder="1" applyAlignment="1">
      <alignment horizontal="center"/>
    </xf>
    <xf numFmtId="165" fontId="12" fillId="0" borderId="1" xfId="0" applyNumberFormat="1" applyFont="1" applyBorder="1" applyAlignment="1">
      <alignment horizontal="center"/>
    </xf>
    <xf numFmtId="166" fontId="5" fillId="0" borderId="1" xfId="0" applyNumberFormat="1" applyFont="1" applyBorder="1" applyAlignment="1">
      <alignment horizontal="center"/>
    </xf>
    <xf numFmtId="0" fontId="5" fillId="0" borderId="3" xfId="0" applyFont="1" applyBorder="1"/>
    <xf numFmtId="0" fontId="5" fillId="0" borderId="7" xfId="0" applyFont="1" applyBorder="1"/>
    <xf numFmtId="0" fontId="12" fillId="0" borderId="3" xfId="0" applyFont="1" applyBorder="1"/>
    <xf numFmtId="3" fontId="12" fillId="0" borderId="1" xfId="0" applyNumberFormat="1" applyFont="1" applyBorder="1" applyAlignment="1">
      <alignment horizontal="center"/>
    </xf>
    <xf numFmtId="0" fontId="74" fillId="0" borderId="0" xfId="1" applyFont="1"/>
    <xf numFmtId="2" fontId="5" fillId="0" borderId="0" xfId="0" applyNumberFormat="1" applyFont="1" applyAlignment="1">
      <alignment horizontal="center"/>
    </xf>
    <xf numFmtId="165" fontId="5"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xf>
    <xf numFmtId="165" fontId="5" fillId="0" borderId="0" xfId="0" applyNumberFormat="1" applyFont="1" applyAlignment="1">
      <alignment horizontal="center"/>
    </xf>
    <xf numFmtId="165" fontId="5" fillId="0" borderId="0" xfId="0" applyNumberFormat="1" applyFont="1"/>
    <xf numFmtId="165" fontId="5" fillId="0" borderId="7" xfId="0" applyNumberFormat="1" applyFont="1" applyBorder="1" applyAlignment="1">
      <alignment horizontal="center"/>
    </xf>
    <xf numFmtId="0" fontId="5" fillId="0" borderId="65" xfId="0" applyFont="1" applyBorder="1"/>
    <xf numFmtId="165" fontId="12" fillId="0" borderId="0" xfId="0" applyNumberFormat="1" applyFont="1" applyAlignment="1">
      <alignment horizontal="center"/>
    </xf>
    <xf numFmtId="2" fontId="5" fillId="0" borderId="7" xfId="0" applyNumberFormat="1" applyFont="1" applyBorder="1" applyAlignment="1">
      <alignment horizontal="center"/>
    </xf>
    <xf numFmtId="0" fontId="12" fillId="0" borderId="3" xfId="0" applyFont="1" applyBorder="1" applyAlignment="1">
      <alignment horizontal="left"/>
    </xf>
    <xf numFmtId="0" fontId="12" fillId="0" borderId="7" xfId="0" applyFont="1" applyBorder="1" applyAlignment="1">
      <alignment horizontal="left"/>
    </xf>
    <xf numFmtId="0" fontId="5" fillId="0" borderId="7" xfId="0" applyFont="1" applyBorder="1" applyAlignment="1">
      <alignment horizontal="center"/>
    </xf>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vertical="center" wrapText="1"/>
    </xf>
    <xf numFmtId="0" fontId="59" fillId="0" borderId="1" xfId="0" applyFont="1" applyBorder="1"/>
    <xf numFmtId="0" fontId="17" fillId="0" borderId="12" xfId="0" applyFont="1" applyBorder="1" applyAlignment="1">
      <alignment horizontal="center" vertical="center"/>
    </xf>
    <xf numFmtId="0" fontId="12" fillId="0" borderId="35" xfId="0" applyFont="1" applyBorder="1" applyAlignment="1">
      <alignment horizontal="center" wrapText="1"/>
    </xf>
    <xf numFmtId="0" fontId="12" fillId="0" borderId="10" xfId="0" applyFont="1" applyBorder="1" applyAlignment="1">
      <alignment horizontal="center" wrapText="1"/>
    </xf>
    <xf numFmtId="0" fontId="5" fillId="0" borderId="35" xfId="0" applyFont="1" applyBorder="1" applyAlignment="1">
      <alignment horizontal="center"/>
    </xf>
    <xf numFmtId="0" fontId="77" fillId="0" borderId="0" xfId="0" applyFont="1" applyAlignment="1">
      <alignment horizontal="center" vertical="center" wrapText="1"/>
    </xf>
    <xf numFmtId="0" fontId="7" fillId="0" borderId="32" xfId="0" applyFont="1" applyBorder="1" applyAlignment="1">
      <alignment horizontal="center"/>
    </xf>
    <xf numFmtId="0" fontId="17" fillId="0" borderId="32" xfId="0" applyFont="1" applyBorder="1" applyAlignment="1">
      <alignment horizontal="center" wrapText="1"/>
    </xf>
    <xf numFmtId="0" fontId="17" fillId="0" borderId="35" xfId="0" applyFont="1" applyBorder="1" applyAlignment="1">
      <alignment horizontal="center"/>
    </xf>
    <xf numFmtId="0" fontId="0" fillId="0" borderId="1" xfId="0" applyBorder="1"/>
    <xf numFmtId="0" fontId="5" fillId="0" borderId="0" xfId="0" applyFont="1" applyAlignment="1">
      <alignment wrapText="1"/>
    </xf>
    <xf numFmtId="0" fontId="72" fillId="0" borderId="1" xfId="0" applyFont="1" applyBorder="1"/>
    <xf numFmtId="0" fontId="79" fillId="0" borderId="0" xfId="0" applyFont="1"/>
    <xf numFmtId="0" fontId="20" fillId="8" borderId="1" xfId="0" applyFont="1" applyFill="1" applyBorder="1" applyAlignment="1">
      <alignment horizontal="center" vertical="top" wrapText="1"/>
    </xf>
    <xf numFmtId="167" fontId="12" fillId="8" borderId="45" xfId="0" applyNumberFormat="1" applyFont="1" applyFill="1" applyBorder="1" applyAlignment="1">
      <alignment horizontal="center"/>
    </xf>
    <xf numFmtId="167" fontId="5" fillId="8" borderId="7" xfId="0" applyNumberFormat="1" applyFont="1" applyFill="1" applyBorder="1" applyAlignment="1">
      <alignment horizontal="center"/>
    </xf>
    <xf numFmtId="167" fontId="12" fillId="8" borderId="1" xfId="0" applyNumberFormat="1" applyFont="1" applyFill="1" applyBorder="1" applyAlignment="1">
      <alignment horizontal="center"/>
    </xf>
    <xf numFmtId="167" fontId="5" fillId="8" borderId="1" xfId="0" applyNumberFormat="1" applyFont="1" applyFill="1" applyBorder="1" applyAlignment="1">
      <alignment horizontal="center"/>
    </xf>
    <xf numFmtId="167" fontId="12" fillId="8" borderId="3" xfId="0" applyNumberFormat="1" applyFont="1" applyFill="1" applyBorder="1" applyAlignment="1">
      <alignment horizontal="center"/>
    </xf>
    <xf numFmtId="9" fontId="5" fillId="8" borderId="17" xfId="5" applyFont="1" applyFill="1" applyBorder="1" applyAlignment="1">
      <alignment horizontal="center"/>
    </xf>
    <xf numFmtId="9" fontId="5" fillId="8" borderId="13" xfId="5" applyFont="1" applyFill="1" applyBorder="1" applyAlignment="1">
      <alignment horizontal="center"/>
    </xf>
    <xf numFmtId="9" fontId="5" fillId="8" borderId="67" xfId="5" applyFont="1" applyFill="1" applyBorder="1" applyAlignment="1">
      <alignment horizontal="center"/>
    </xf>
    <xf numFmtId="0" fontId="20" fillId="9" borderId="1" xfId="0" applyFont="1" applyFill="1" applyBorder="1" applyAlignment="1">
      <alignment horizontal="center" vertical="top" wrapText="1"/>
    </xf>
    <xf numFmtId="167" fontId="12" fillId="9" borderId="1" xfId="0" applyNumberFormat="1" applyFont="1" applyFill="1" applyBorder="1" applyAlignment="1">
      <alignment horizontal="center"/>
    </xf>
    <xf numFmtId="167" fontId="12" fillId="9" borderId="19" xfId="0" applyNumberFormat="1" applyFont="1" applyFill="1" applyBorder="1" applyAlignment="1">
      <alignment horizontal="center"/>
    </xf>
    <xf numFmtId="167" fontId="17" fillId="9" borderId="36" xfId="0" applyNumberFormat="1" applyFont="1" applyFill="1" applyBorder="1" applyAlignment="1">
      <alignment horizontal="center"/>
    </xf>
    <xf numFmtId="167" fontId="12" fillId="9" borderId="31" xfId="0" applyNumberFormat="1" applyFont="1" applyFill="1" applyBorder="1" applyAlignment="1">
      <alignment horizontal="center"/>
    </xf>
    <xf numFmtId="167" fontId="17" fillId="9" borderId="31" xfId="0" applyNumberFormat="1" applyFont="1" applyFill="1" applyBorder="1" applyAlignment="1">
      <alignment horizontal="center"/>
    </xf>
    <xf numFmtId="167" fontId="17" fillId="9" borderId="1" xfId="0" applyNumberFormat="1" applyFont="1" applyFill="1" applyBorder="1" applyAlignment="1">
      <alignment horizontal="center"/>
    </xf>
    <xf numFmtId="167" fontId="17" fillId="9" borderId="19" xfId="0" applyNumberFormat="1" applyFont="1" applyFill="1" applyBorder="1" applyAlignment="1">
      <alignment horizontal="center"/>
    </xf>
    <xf numFmtId="167" fontId="17" fillId="9" borderId="7" xfId="0" applyNumberFormat="1" applyFont="1" applyFill="1" applyBorder="1" applyAlignment="1">
      <alignment horizontal="center"/>
    </xf>
    <xf numFmtId="167" fontId="17" fillId="9" borderId="11" xfId="0" applyNumberFormat="1" applyFont="1" applyFill="1" applyBorder="1" applyAlignment="1">
      <alignment horizontal="center"/>
    </xf>
    <xf numFmtId="167" fontId="17" fillId="9" borderId="9" xfId="0" applyNumberFormat="1" applyFont="1" applyFill="1" applyBorder="1" applyAlignment="1">
      <alignment horizontal="center"/>
    </xf>
    <xf numFmtId="167" fontId="17" fillId="9" borderId="35" xfId="0" applyNumberFormat="1" applyFont="1" applyFill="1" applyBorder="1" applyAlignment="1">
      <alignment horizontal="center"/>
    </xf>
    <xf numFmtId="167" fontId="17" fillId="9" borderId="8" xfId="0" applyNumberFormat="1" applyFont="1" applyFill="1" applyBorder="1" applyAlignment="1">
      <alignment horizontal="center"/>
    </xf>
    <xf numFmtId="164" fontId="3" fillId="8" borderId="1" xfId="0" applyNumberFormat="1" applyFont="1" applyFill="1" applyBorder="1" applyAlignment="1">
      <alignment horizontal="center" vertical="center"/>
    </xf>
    <xf numFmtId="164" fontId="3" fillId="8" borderId="1" xfId="0" applyNumberFormat="1" applyFont="1" applyFill="1" applyBorder="1" applyAlignment="1">
      <alignment horizontal="center"/>
    </xf>
    <xf numFmtId="0" fontId="9" fillId="8" borderId="1" xfId="0" applyFont="1" applyFill="1" applyBorder="1" applyAlignment="1">
      <alignment horizontal="center" wrapText="1"/>
    </xf>
    <xf numFmtId="0" fontId="20" fillId="9" borderId="1" xfId="0" applyFont="1" applyFill="1" applyBorder="1" applyAlignment="1">
      <alignment horizontal="center" wrapText="1"/>
    </xf>
    <xf numFmtId="0" fontId="20" fillId="10" borderId="41" xfId="0" applyFont="1" applyFill="1" applyBorder="1" applyAlignment="1">
      <alignment horizontal="center" vertical="top" wrapText="1"/>
    </xf>
    <xf numFmtId="165" fontId="3" fillId="10" borderId="43" xfId="0" applyNumberFormat="1" applyFont="1" applyFill="1" applyBorder="1" applyAlignment="1">
      <alignment horizontal="center" vertical="center"/>
    </xf>
    <xf numFmtId="0" fontId="3" fillId="10" borderId="39" xfId="0" applyFont="1" applyFill="1" applyBorder="1" applyAlignment="1">
      <alignment horizontal="center" vertical="center"/>
    </xf>
    <xf numFmtId="0" fontId="3" fillId="10" borderId="53" xfId="0" applyFont="1" applyFill="1" applyBorder="1" applyAlignment="1">
      <alignment horizontal="center" vertical="center"/>
    </xf>
    <xf numFmtId="167" fontId="3" fillId="8" borderId="45" xfId="0" applyNumberFormat="1" applyFont="1" applyFill="1" applyBorder="1" applyAlignment="1">
      <alignment horizontal="center"/>
    </xf>
    <xf numFmtId="167" fontId="3" fillId="8" borderId="14" xfId="0" applyNumberFormat="1" applyFont="1" applyFill="1" applyBorder="1" applyAlignment="1">
      <alignment horizontal="center"/>
    </xf>
    <xf numFmtId="167" fontId="5" fillId="9" borderId="33" xfId="0" applyNumberFormat="1" applyFont="1" applyFill="1" applyBorder="1" applyAlignment="1">
      <alignment horizontal="center"/>
    </xf>
    <xf numFmtId="0" fontId="20" fillId="9" borderId="41" xfId="0" applyFont="1" applyFill="1" applyBorder="1" applyAlignment="1">
      <alignment horizontal="center" vertical="top" wrapText="1"/>
    </xf>
    <xf numFmtId="167" fontId="7" fillId="9" borderId="8" xfId="0" applyNumberFormat="1" applyFont="1" applyFill="1" applyBorder="1" applyAlignment="1">
      <alignment horizontal="center"/>
    </xf>
    <xf numFmtId="167" fontId="7" fillId="9" borderId="10" xfId="0" applyNumberFormat="1" applyFont="1" applyFill="1" applyBorder="1" applyAlignment="1">
      <alignment horizontal="center"/>
    </xf>
    <xf numFmtId="167" fontId="7" fillId="9" borderId="9" xfId="0" applyNumberFormat="1" applyFont="1" applyFill="1" applyBorder="1" applyAlignment="1">
      <alignment horizontal="center"/>
    </xf>
    <xf numFmtId="0" fontId="20" fillId="8" borderId="41" xfId="0" applyFont="1" applyFill="1" applyBorder="1" applyAlignment="1">
      <alignment horizontal="center" vertical="top" wrapText="1"/>
    </xf>
    <xf numFmtId="167" fontId="5" fillId="8" borderId="45" xfId="0" applyNumberFormat="1" applyFont="1" applyFill="1" applyBorder="1" applyAlignment="1">
      <alignment horizontal="center"/>
    </xf>
    <xf numFmtId="167" fontId="5" fillId="8" borderId="36" xfId="0" applyNumberFormat="1" applyFont="1" applyFill="1" applyBorder="1" applyAlignment="1">
      <alignment horizontal="center"/>
    </xf>
    <xf numFmtId="167" fontId="6" fillId="9" borderId="8" xfId="0" applyNumberFormat="1" applyFont="1" applyFill="1" applyBorder="1" applyAlignment="1">
      <alignment horizontal="center"/>
    </xf>
    <xf numFmtId="167" fontId="6" fillId="9" borderId="42" xfId="0" applyNumberFormat="1" applyFont="1" applyFill="1" applyBorder="1" applyAlignment="1">
      <alignment horizontal="center"/>
    </xf>
    <xf numFmtId="167" fontId="6" fillId="9" borderId="10" xfId="0" applyNumberFormat="1" applyFont="1" applyFill="1" applyBorder="1" applyAlignment="1">
      <alignment horizontal="center"/>
    </xf>
    <xf numFmtId="167" fontId="6" fillId="9" borderId="35" xfId="0" applyNumberFormat="1" applyFont="1" applyFill="1" applyBorder="1" applyAlignment="1">
      <alignment horizontal="center"/>
    </xf>
    <xf numFmtId="167" fontId="5" fillId="9" borderId="9" xfId="0" applyNumberFormat="1" applyFont="1" applyFill="1" applyBorder="1" applyAlignment="1">
      <alignment horizontal="center"/>
    </xf>
    <xf numFmtId="167" fontId="3" fillId="9" borderId="35" xfId="0" applyNumberFormat="1" applyFont="1" applyFill="1" applyBorder="1" applyAlignment="1">
      <alignment horizontal="center"/>
    </xf>
    <xf numFmtId="167" fontId="3" fillId="8" borderId="8" xfId="0" applyNumberFormat="1" applyFont="1" applyFill="1" applyBorder="1" applyAlignment="1">
      <alignment horizontal="center"/>
    </xf>
    <xf numFmtId="0" fontId="20" fillId="8" borderId="1" xfId="0" applyFont="1" applyFill="1" applyBorder="1" applyAlignment="1">
      <alignment horizontal="center" wrapText="1"/>
    </xf>
    <xf numFmtId="167" fontId="5" fillId="8" borderId="33" xfId="0" applyNumberFormat="1" applyFont="1" applyFill="1" applyBorder="1" applyAlignment="1">
      <alignment horizontal="center"/>
    </xf>
    <xf numFmtId="167" fontId="5" fillId="9" borderId="7" xfId="0" applyNumberFormat="1" applyFont="1" applyFill="1" applyBorder="1" applyAlignment="1">
      <alignment horizontal="center"/>
    </xf>
    <xf numFmtId="167" fontId="5" fillId="9" borderId="82" xfId="0" applyNumberFormat="1" applyFont="1" applyFill="1" applyBorder="1" applyAlignment="1">
      <alignment horizontal="center"/>
    </xf>
    <xf numFmtId="168" fontId="5" fillId="9" borderId="33" xfId="5" applyNumberFormat="1" applyFont="1" applyFill="1" applyBorder="1" applyAlignment="1">
      <alignment horizontal="center"/>
    </xf>
    <xf numFmtId="167" fontId="7" fillId="9" borderId="35" xfId="0" applyNumberFormat="1" applyFont="1" applyFill="1" applyBorder="1" applyAlignment="1">
      <alignment horizontal="center"/>
    </xf>
    <xf numFmtId="167" fontId="7" fillId="9" borderId="32" xfId="0" applyNumberFormat="1" applyFont="1" applyFill="1" applyBorder="1" applyAlignment="1">
      <alignment horizontal="center"/>
    </xf>
    <xf numFmtId="168" fontId="7" fillId="9" borderId="10" xfId="5" applyNumberFormat="1" applyFont="1" applyFill="1" applyBorder="1" applyAlignment="1">
      <alignment horizontal="center"/>
    </xf>
    <xf numFmtId="164" fontId="5" fillId="9" borderId="7" xfId="0" applyNumberFormat="1" applyFont="1" applyFill="1" applyBorder="1" applyAlignment="1">
      <alignment horizontal="center"/>
    </xf>
    <xf numFmtId="164" fontId="5" fillId="9" borderId="82" xfId="0" applyNumberFormat="1" applyFont="1" applyFill="1" applyBorder="1" applyAlignment="1">
      <alignment horizontal="center"/>
    </xf>
    <xf numFmtId="167" fontId="7" fillId="9" borderId="4" xfId="0" applyNumberFormat="1" applyFont="1" applyFill="1" applyBorder="1" applyAlignment="1">
      <alignment horizontal="center"/>
    </xf>
    <xf numFmtId="167" fontId="7" fillId="9" borderId="1" xfId="0" applyNumberFormat="1" applyFont="1" applyFill="1" applyBorder="1" applyAlignment="1">
      <alignment horizontal="center"/>
    </xf>
    <xf numFmtId="167" fontId="6" fillId="9" borderId="1" xfId="0" applyNumberFormat="1" applyFont="1" applyFill="1" applyBorder="1" applyAlignment="1">
      <alignment horizontal="center"/>
    </xf>
    <xf numFmtId="167" fontId="7" fillId="9" borderId="1" xfId="0" applyNumberFormat="1" applyFont="1" applyFill="1" applyBorder="1" applyAlignment="1">
      <alignment horizontal="center" vertical="center"/>
    </xf>
    <xf numFmtId="168" fontId="7" fillId="9" borderId="7" xfId="5" applyNumberFormat="1" applyFont="1" applyFill="1" applyBorder="1" applyAlignment="1">
      <alignment horizontal="center" vertical="center"/>
    </xf>
    <xf numFmtId="168" fontId="7" fillId="9" borderId="1" xfId="5" applyNumberFormat="1" applyFont="1" applyFill="1" applyBorder="1" applyAlignment="1">
      <alignment horizontal="center" vertical="center"/>
    </xf>
    <xf numFmtId="168" fontId="7" fillId="9" borderId="4" xfId="5" applyNumberFormat="1" applyFont="1" applyFill="1" applyBorder="1" applyAlignment="1">
      <alignment horizontal="center" vertical="center"/>
    </xf>
    <xf numFmtId="4" fontId="12" fillId="9" borderId="9" xfId="0" applyNumberFormat="1" applyFont="1" applyFill="1" applyBorder="1" applyAlignment="1">
      <alignment horizontal="center" vertical="center"/>
    </xf>
    <xf numFmtId="4" fontId="7" fillId="9" borderId="8" xfId="0" applyNumberFormat="1" applyFont="1" applyFill="1" applyBorder="1" applyAlignment="1">
      <alignment horizontal="center" vertical="center"/>
    </xf>
    <xf numFmtId="4" fontId="7" fillId="9" borderId="10" xfId="0" applyNumberFormat="1" applyFont="1" applyFill="1" applyBorder="1" applyAlignment="1">
      <alignment horizontal="center" vertical="center"/>
    </xf>
    <xf numFmtId="167" fontId="12" fillId="8" borderId="13" xfId="0" applyNumberFormat="1" applyFont="1" applyFill="1" applyBorder="1" applyAlignment="1">
      <alignment horizontal="center" vertical="center"/>
    </xf>
    <xf numFmtId="0" fontId="3" fillId="10" borderId="9" xfId="0" applyFont="1" applyFill="1" applyBorder="1" applyAlignment="1">
      <alignment horizontal="center" vertical="center"/>
    </xf>
    <xf numFmtId="0" fontId="3" fillId="10" borderId="42" xfId="0" applyFont="1" applyFill="1" applyBorder="1" applyAlignment="1">
      <alignment horizontal="center" vertical="center"/>
    </xf>
    <xf numFmtId="0" fontId="3" fillId="10" borderId="10" xfId="0" applyFont="1" applyFill="1" applyBorder="1" applyAlignment="1">
      <alignment horizontal="center" vertical="center"/>
    </xf>
    <xf numFmtId="4" fontId="12" fillId="8" borderId="28" xfId="0" applyNumberFormat="1" applyFont="1" applyFill="1" applyBorder="1" applyAlignment="1">
      <alignment horizontal="center" vertical="center"/>
    </xf>
    <xf numFmtId="4" fontId="12" fillId="8" borderId="52" xfId="0" applyNumberFormat="1" applyFont="1" applyFill="1" applyBorder="1" applyAlignment="1">
      <alignment horizontal="center" vertical="center"/>
    </xf>
    <xf numFmtId="4" fontId="12" fillId="8" borderId="72" xfId="0" applyNumberFormat="1" applyFont="1" applyFill="1" applyBorder="1" applyAlignment="1">
      <alignment horizontal="center" vertical="center"/>
    </xf>
    <xf numFmtId="4" fontId="12" fillId="8" borderId="47" xfId="0" applyNumberFormat="1" applyFont="1" applyFill="1" applyBorder="1" applyAlignment="1">
      <alignment horizontal="center" vertical="center"/>
    </xf>
    <xf numFmtId="4" fontId="12" fillId="8" borderId="48" xfId="0" applyNumberFormat="1" applyFont="1" applyFill="1" applyBorder="1" applyAlignment="1">
      <alignment horizontal="center" vertical="center"/>
    </xf>
    <xf numFmtId="4" fontId="17" fillId="9" borderId="32" xfId="0" applyNumberFormat="1" applyFont="1" applyFill="1" applyBorder="1" applyAlignment="1">
      <alignment horizontal="center"/>
    </xf>
    <xf numFmtId="167" fontId="12" fillId="9" borderId="9" xfId="0" applyNumberFormat="1" applyFont="1" applyFill="1" applyBorder="1" applyAlignment="1">
      <alignment horizontal="center"/>
    </xf>
    <xf numFmtId="4" fontId="12" fillId="9" borderId="9" xfId="0" applyNumberFormat="1" applyFont="1" applyFill="1" applyBorder="1" applyAlignment="1">
      <alignment horizontal="center"/>
    </xf>
    <xf numFmtId="167" fontId="12" fillId="9" borderId="42" xfId="0" applyNumberFormat="1" applyFont="1" applyFill="1" applyBorder="1" applyAlignment="1">
      <alignment horizontal="center"/>
    </xf>
    <xf numFmtId="167" fontId="12" fillId="9" borderId="35" xfId="0" applyNumberFormat="1" applyFont="1" applyFill="1" applyBorder="1" applyAlignment="1">
      <alignment horizontal="center"/>
    </xf>
    <xf numFmtId="167" fontId="12" fillId="9" borderId="10" xfId="0" applyNumberFormat="1" applyFont="1" applyFill="1" applyBorder="1" applyAlignment="1">
      <alignment horizontal="center"/>
    </xf>
    <xf numFmtId="4" fontId="12" fillId="9" borderId="10" xfId="0" applyNumberFormat="1" applyFont="1" applyFill="1" applyBorder="1" applyAlignment="1">
      <alignment horizontal="center"/>
    </xf>
    <xf numFmtId="4" fontId="12" fillId="9" borderId="42" xfId="0" applyNumberFormat="1" applyFont="1" applyFill="1" applyBorder="1" applyAlignment="1">
      <alignment horizontal="center"/>
    </xf>
    <xf numFmtId="4" fontId="5" fillId="9" borderId="9" xfId="0" applyNumberFormat="1" applyFont="1" applyFill="1" applyBorder="1" applyAlignment="1">
      <alignment horizontal="center" vertical="center"/>
    </xf>
    <xf numFmtId="4" fontId="5" fillId="9" borderId="42" xfId="0" applyNumberFormat="1" applyFont="1" applyFill="1" applyBorder="1" applyAlignment="1">
      <alignment horizontal="center" vertical="center"/>
    </xf>
    <xf numFmtId="4" fontId="5" fillId="9" borderId="10" xfId="0" applyNumberFormat="1" applyFont="1" applyFill="1" applyBorder="1" applyAlignment="1">
      <alignment horizontal="center" vertical="center"/>
    </xf>
    <xf numFmtId="167" fontId="12" fillId="8" borderId="53" xfId="0" applyNumberFormat="1" applyFont="1" applyFill="1" applyBorder="1" applyAlignment="1">
      <alignment horizontal="center" vertical="center" wrapText="1"/>
    </xf>
    <xf numFmtId="167" fontId="12" fillId="8" borderId="13" xfId="0" applyNumberFormat="1" applyFont="1" applyFill="1" applyBorder="1" applyAlignment="1">
      <alignment horizontal="center" vertical="center" wrapText="1"/>
    </xf>
    <xf numFmtId="167" fontId="12" fillId="8" borderId="9" xfId="0" applyNumberFormat="1" applyFont="1" applyFill="1" applyBorder="1" applyAlignment="1">
      <alignment horizontal="center" vertical="center" wrapText="1"/>
    </xf>
    <xf numFmtId="167" fontId="12" fillId="8" borderId="35" xfId="0" applyNumberFormat="1" applyFont="1" applyFill="1" applyBorder="1" applyAlignment="1">
      <alignment horizontal="center" vertical="center" wrapText="1"/>
    </xf>
    <xf numFmtId="167" fontId="12" fillId="8" borderId="26" xfId="0" applyNumberFormat="1" applyFont="1" applyFill="1" applyBorder="1" applyAlignment="1">
      <alignment horizontal="center" vertical="center"/>
    </xf>
    <xf numFmtId="167" fontId="12" fillId="8" borderId="10" xfId="0" applyNumberFormat="1" applyFont="1" applyFill="1" applyBorder="1" applyAlignment="1">
      <alignment horizontal="center" vertical="center"/>
    </xf>
    <xf numFmtId="167" fontId="12" fillId="8" borderId="46" xfId="0" applyNumberFormat="1" applyFont="1" applyFill="1" applyBorder="1" applyAlignment="1">
      <alignment horizontal="center" vertical="center" wrapText="1"/>
    </xf>
    <xf numFmtId="4" fontId="12" fillId="8" borderId="9" xfId="0" applyNumberFormat="1" applyFont="1" applyFill="1" applyBorder="1" applyAlignment="1">
      <alignment horizontal="center"/>
    </xf>
    <xf numFmtId="4" fontId="12" fillId="8" borderId="12" xfId="0" applyNumberFormat="1" applyFont="1" applyFill="1" applyBorder="1" applyAlignment="1">
      <alignment horizontal="center"/>
    </xf>
    <xf numFmtId="4" fontId="5" fillId="9" borderId="12" xfId="0" applyNumberFormat="1" applyFont="1" applyFill="1" applyBorder="1" applyAlignment="1">
      <alignment horizontal="center" vertical="center"/>
    </xf>
    <xf numFmtId="4" fontId="7" fillId="9" borderId="32" xfId="0" applyNumberFormat="1" applyFont="1" applyFill="1" applyBorder="1" applyAlignment="1">
      <alignment horizontal="center" vertical="center"/>
    </xf>
    <xf numFmtId="2" fontId="5" fillId="9" borderId="3" xfId="0" applyNumberFormat="1" applyFont="1" applyFill="1" applyBorder="1" applyAlignment="1">
      <alignment horizontal="center"/>
    </xf>
    <xf numFmtId="2" fontId="5" fillId="9" borderId="5" xfId="0" applyNumberFormat="1" applyFont="1" applyFill="1" applyBorder="1" applyAlignment="1">
      <alignment horizontal="center"/>
    </xf>
    <xf numFmtId="2" fontId="5" fillId="9" borderId="19" xfId="0" applyNumberFormat="1" applyFont="1" applyFill="1" applyBorder="1" applyAlignment="1">
      <alignment horizontal="center"/>
    </xf>
    <xf numFmtId="2" fontId="5" fillId="9" borderId="21" xfId="0" applyNumberFormat="1" applyFont="1" applyFill="1" applyBorder="1" applyAlignment="1">
      <alignment horizontal="center"/>
    </xf>
    <xf numFmtId="2" fontId="5" fillId="9" borderId="35" xfId="0" applyNumberFormat="1" applyFont="1" applyFill="1" applyBorder="1" applyAlignment="1">
      <alignment horizontal="center" vertical="center"/>
    </xf>
    <xf numFmtId="2" fontId="5" fillId="9" borderId="9" xfId="0" applyNumberFormat="1" applyFont="1" applyFill="1" applyBorder="1" applyAlignment="1">
      <alignment horizontal="center" vertical="center"/>
    </xf>
    <xf numFmtId="2" fontId="5" fillId="9" borderId="10" xfId="0" applyNumberFormat="1" applyFont="1" applyFill="1" applyBorder="1" applyAlignment="1">
      <alignment horizontal="center" vertical="center"/>
    </xf>
    <xf numFmtId="2" fontId="7" fillId="9" borderId="32" xfId="0" applyNumberFormat="1" applyFont="1" applyFill="1" applyBorder="1" applyAlignment="1">
      <alignment horizontal="center" vertical="center"/>
    </xf>
    <xf numFmtId="4" fontId="5" fillId="8" borderId="67" xfId="0" applyNumberFormat="1" applyFont="1" applyFill="1" applyBorder="1" applyAlignment="1">
      <alignment horizontal="center"/>
    </xf>
    <xf numFmtId="4" fontId="5" fillId="8" borderId="31" xfId="0" applyNumberFormat="1" applyFont="1" applyFill="1" applyBorder="1" applyAlignment="1">
      <alignment horizontal="center"/>
    </xf>
    <xf numFmtId="4" fontId="5" fillId="8" borderId="69" xfId="0" applyNumberFormat="1" applyFont="1" applyFill="1" applyBorder="1" applyAlignment="1">
      <alignment horizontal="center"/>
    </xf>
    <xf numFmtId="4" fontId="12" fillId="8" borderId="67" xfId="4" applyNumberFormat="1" applyFont="1" applyFill="1" applyBorder="1" applyAlignment="1">
      <alignment horizontal="center" vertical="center"/>
    </xf>
    <xf numFmtId="4" fontId="12" fillId="8" borderId="31" xfId="0" applyNumberFormat="1" applyFont="1" applyFill="1" applyBorder="1" applyAlignment="1">
      <alignment horizontal="center" vertical="center"/>
    </xf>
    <xf numFmtId="4" fontId="12" fillId="8" borderId="20" xfId="0" applyNumberFormat="1" applyFont="1" applyFill="1" applyBorder="1" applyAlignment="1">
      <alignment horizontal="center" vertical="center"/>
    </xf>
    <xf numFmtId="4" fontId="5" fillId="8" borderId="36" xfId="0" applyNumberFormat="1" applyFont="1" applyFill="1" applyBorder="1" applyAlignment="1">
      <alignment horizontal="center"/>
    </xf>
    <xf numFmtId="0" fontId="5" fillId="11" borderId="8" xfId="0" applyFont="1" applyFill="1" applyBorder="1" applyAlignment="1">
      <alignment horizontal="left"/>
    </xf>
    <xf numFmtId="0" fontId="12" fillId="11" borderId="29" xfId="0" applyFont="1" applyFill="1" applyBorder="1" applyAlignment="1">
      <alignment horizontal="left"/>
    </xf>
    <xf numFmtId="2" fontId="5" fillId="11" borderId="29" xfId="0" applyNumberFormat="1" applyFont="1" applyFill="1" applyBorder="1" applyAlignment="1">
      <alignment horizontal="center" vertical="center"/>
    </xf>
    <xf numFmtId="2" fontId="5" fillId="11" borderId="8" xfId="0" applyNumberFormat="1" applyFont="1" applyFill="1" applyBorder="1" applyAlignment="1">
      <alignment horizontal="center" vertical="center"/>
    </xf>
    <xf numFmtId="0" fontId="5" fillId="12" borderId="8" xfId="0" applyFont="1" applyFill="1" applyBorder="1"/>
    <xf numFmtId="2" fontId="5" fillId="12" borderId="39" xfId="0" applyNumberFormat="1" applyFont="1" applyFill="1" applyBorder="1" applyAlignment="1">
      <alignment horizontal="center" vertical="center"/>
    </xf>
    <xf numFmtId="2" fontId="5" fillId="12" borderId="9" xfId="0" applyNumberFormat="1" applyFont="1" applyFill="1" applyBorder="1" applyAlignment="1">
      <alignment horizontal="center" vertical="center" wrapText="1"/>
    </xf>
    <xf numFmtId="2" fontId="5" fillId="12" borderId="13" xfId="0" applyNumberFormat="1" applyFont="1" applyFill="1" applyBorder="1" applyAlignment="1">
      <alignment horizontal="center" vertical="center" wrapText="1"/>
    </xf>
    <xf numFmtId="2" fontId="5" fillId="12" borderId="12" xfId="0" applyNumberFormat="1" applyFont="1" applyFill="1" applyBorder="1" applyAlignment="1">
      <alignment horizontal="center" vertical="center" wrapText="1"/>
    </xf>
    <xf numFmtId="2" fontId="5" fillId="12" borderId="70" xfId="0" applyNumberFormat="1" applyFont="1" applyFill="1" applyBorder="1" applyAlignment="1">
      <alignment horizontal="center" vertical="center" wrapText="1"/>
    </xf>
    <xf numFmtId="2" fontId="5" fillId="12" borderId="70" xfId="0" quotePrefix="1" applyNumberFormat="1" applyFont="1" applyFill="1" applyBorder="1" applyAlignment="1">
      <alignment horizontal="center" vertical="center" wrapText="1"/>
    </xf>
    <xf numFmtId="0" fontId="12" fillId="12" borderId="9" xfId="0" applyFont="1" applyFill="1" applyBorder="1"/>
    <xf numFmtId="0" fontId="5" fillId="12" borderId="12" xfId="0" applyFont="1" applyFill="1" applyBorder="1"/>
    <xf numFmtId="0" fontId="5" fillId="13" borderId="8" xfId="0" applyFont="1" applyFill="1" applyBorder="1" applyAlignment="1">
      <alignment horizontal="left"/>
    </xf>
    <xf numFmtId="2" fontId="5" fillId="13" borderId="39" xfId="0" applyNumberFormat="1" applyFont="1" applyFill="1" applyBorder="1" applyAlignment="1">
      <alignment horizontal="center" vertical="center"/>
    </xf>
    <xf numFmtId="2" fontId="12" fillId="13" borderId="31" xfId="0" applyNumberFormat="1" applyFont="1" applyFill="1" applyBorder="1" applyAlignment="1">
      <alignment horizontal="center" vertical="center"/>
    </xf>
    <xf numFmtId="2" fontId="12" fillId="13" borderId="9" xfId="0" applyNumberFormat="1" applyFont="1" applyFill="1" applyBorder="1" applyAlignment="1">
      <alignment horizontal="center" vertical="center"/>
    </xf>
    <xf numFmtId="2" fontId="5" fillId="13" borderId="42" xfId="0" applyNumberFormat="1" applyFont="1" applyFill="1" applyBorder="1" applyAlignment="1">
      <alignment horizontal="center" vertical="center"/>
    </xf>
    <xf numFmtId="2" fontId="5" fillId="13" borderId="9" xfId="0" applyNumberFormat="1" applyFont="1" applyFill="1" applyBorder="1" applyAlignment="1">
      <alignment horizontal="center" vertical="center"/>
    </xf>
    <xf numFmtId="2" fontId="5" fillId="13" borderId="35" xfId="0" applyNumberFormat="1" applyFont="1" applyFill="1" applyBorder="1" applyAlignment="1">
      <alignment horizontal="center" vertical="center"/>
    </xf>
    <xf numFmtId="0" fontId="12" fillId="13" borderId="35" xfId="0" applyFont="1" applyFill="1" applyBorder="1" applyAlignment="1">
      <alignment horizontal="left"/>
    </xf>
    <xf numFmtId="0" fontId="5" fillId="13" borderId="9" xfId="0" applyFont="1" applyFill="1" applyBorder="1" applyAlignment="1">
      <alignment horizontal="left"/>
    </xf>
    <xf numFmtId="0" fontId="12" fillId="13" borderId="9" xfId="0" applyFont="1" applyFill="1" applyBorder="1" applyAlignment="1">
      <alignment horizontal="left"/>
    </xf>
    <xf numFmtId="0" fontId="5" fillId="13" borderId="9" xfId="0" applyFont="1" applyFill="1" applyBorder="1"/>
    <xf numFmtId="0" fontId="12" fillId="13" borderId="72" xfId="0" applyFont="1" applyFill="1" applyBorder="1"/>
    <xf numFmtId="0" fontId="12" fillId="13" borderId="42" xfId="0" applyFont="1" applyFill="1" applyBorder="1" applyAlignment="1">
      <alignment vertical="center"/>
    </xf>
    <xf numFmtId="2" fontId="12" fillId="13" borderId="42" xfId="0" applyNumberFormat="1" applyFont="1" applyFill="1" applyBorder="1" applyAlignment="1">
      <alignment horizontal="center" vertical="center"/>
    </xf>
    <xf numFmtId="0" fontId="5" fillId="12" borderId="9" xfId="0" applyFont="1" applyFill="1" applyBorder="1" applyAlignment="1">
      <alignment vertical="center" wrapText="1"/>
    </xf>
    <xf numFmtId="2" fontId="5" fillId="12" borderId="9" xfId="0" applyNumberFormat="1" applyFont="1" applyFill="1" applyBorder="1" applyAlignment="1">
      <alignment horizontal="center" vertical="center"/>
    </xf>
    <xf numFmtId="0" fontId="5" fillId="11" borderId="8" xfId="0" applyFont="1" applyFill="1" applyBorder="1" applyAlignment="1">
      <alignment wrapText="1"/>
    </xf>
    <xf numFmtId="0" fontId="48" fillId="14" borderId="32" xfId="0" applyFont="1" applyFill="1" applyBorder="1" applyAlignment="1">
      <alignment vertical="center"/>
    </xf>
    <xf numFmtId="2" fontId="48" fillId="14" borderId="32" xfId="0" applyNumberFormat="1" applyFont="1" applyFill="1" applyBorder="1" applyAlignment="1">
      <alignment horizontal="center" vertical="center"/>
    </xf>
    <xf numFmtId="2" fontId="48" fillId="14" borderId="32" xfId="0" applyNumberFormat="1" applyFont="1" applyFill="1" applyBorder="1" applyAlignment="1">
      <alignment horizontal="left" vertical="center"/>
    </xf>
    <xf numFmtId="0" fontId="48" fillId="14" borderId="3" xfId="0" applyFont="1" applyFill="1" applyBorder="1"/>
    <xf numFmtId="0" fontId="48" fillId="14" borderId="7" xfId="0" applyFont="1" applyFill="1" applyBorder="1"/>
    <xf numFmtId="0" fontId="48" fillId="14" borderId="40" xfId="0" applyFont="1" applyFill="1" applyBorder="1"/>
    <xf numFmtId="0" fontId="7" fillId="17" borderId="3" xfId="0" applyFont="1" applyFill="1" applyBorder="1"/>
    <xf numFmtId="0" fontId="7" fillId="17" borderId="1" xfId="0" applyFont="1" applyFill="1" applyBorder="1" applyAlignment="1">
      <alignment horizontal="center"/>
    </xf>
    <xf numFmtId="0" fontId="7" fillId="17" borderId="6" xfId="0" applyFont="1" applyFill="1" applyBorder="1" applyAlignment="1">
      <alignment vertical="center"/>
    </xf>
    <xf numFmtId="0" fontId="7" fillId="17" borderId="6" xfId="0" applyFont="1" applyFill="1" applyBorder="1" applyAlignment="1">
      <alignment horizontal="center"/>
    </xf>
    <xf numFmtId="0" fontId="7" fillId="17" borderId="1" xfId="0" applyFont="1" applyFill="1" applyBorder="1"/>
    <xf numFmtId="0" fontId="7" fillId="17" borderId="5" xfId="0" applyFont="1" applyFill="1" applyBorder="1" applyAlignment="1">
      <alignment horizontal="left" vertical="top"/>
    </xf>
    <xf numFmtId="0" fontId="7" fillId="17" borderId="40" xfId="0" applyFont="1" applyFill="1" applyBorder="1" applyAlignment="1">
      <alignment horizontal="left" vertical="top"/>
    </xf>
    <xf numFmtId="0" fontId="7" fillId="17" borderId="6" xfId="0" applyFont="1" applyFill="1" applyBorder="1" applyAlignment="1">
      <alignment horizontal="left" vertical="top" wrapText="1"/>
    </xf>
    <xf numFmtId="0" fontId="7" fillId="17" borderId="6" xfId="0" applyFont="1" applyFill="1" applyBorder="1" applyAlignment="1">
      <alignment horizontal="left" vertical="top"/>
    </xf>
    <xf numFmtId="0" fontId="7" fillId="17" borderId="66" xfId="0" applyFont="1" applyFill="1" applyBorder="1" applyAlignment="1">
      <alignment horizontal="left" vertical="top"/>
    </xf>
    <xf numFmtId="0" fontId="7" fillId="17" borderId="65" xfId="0" applyFont="1" applyFill="1" applyBorder="1" applyAlignment="1">
      <alignment horizontal="left" vertical="top"/>
    </xf>
    <xf numFmtId="0" fontId="7" fillId="17" borderId="64" xfId="0" applyFont="1" applyFill="1" applyBorder="1" applyAlignment="1">
      <alignment horizontal="left" vertical="top" wrapText="1"/>
    </xf>
    <xf numFmtId="0" fontId="7" fillId="17" borderId="64" xfId="0" applyFont="1" applyFill="1" applyBorder="1" applyAlignment="1">
      <alignment horizontal="left" vertical="top"/>
    </xf>
    <xf numFmtId="0" fontId="7" fillId="17" borderId="2" xfId="0" applyFont="1" applyFill="1" applyBorder="1" applyAlignment="1">
      <alignment horizontal="left" vertical="top"/>
    </xf>
    <xf numFmtId="0" fontId="7" fillId="17" borderId="36" xfId="0" applyFont="1" applyFill="1" applyBorder="1" applyAlignment="1">
      <alignment horizontal="left" vertical="top"/>
    </xf>
    <xf numFmtId="0" fontId="7" fillId="17" borderId="4" xfId="0" applyFont="1" applyFill="1" applyBorder="1" applyAlignment="1">
      <alignment horizontal="left" vertical="top" wrapText="1"/>
    </xf>
    <xf numFmtId="0" fontId="7" fillId="17" borderId="4" xfId="0" applyFont="1" applyFill="1" applyBorder="1" applyAlignment="1">
      <alignment horizontal="left" vertical="top"/>
    </xf>
    <xf numFmtId="0" fontId="7" fillId="17" borderId="7" xfId="0" applyFont="1" applyFill="1" applyBorder="1" applyAlignment="1">
      <alignment horizontal="center"/>
    </xf>
    <xf numFmtId="0" fontId="7" fillId="17" borderId="7" xfId="0" applyFont="1" applyFill="1" applyBorder="1"/>
    <xf numFmtId="0" fontId="17" fillId="0" borderId="3" xfId="0" applyFont="1" applyBorder="1" applyAlignment="1">
      <alignment horizontal="center"/>
    </xf>
    <xf numFmtId="167" fontId="12" fillId="18" borderId="7" xfId="0" applyNumberFormat="1" applyFont="1" applyFill="1" applyBorder="1" applyAlignment="1">
      <alignment horizontal="center"/>
    </xf>
    <xf numFmtId="167" fontId="12" fillId="18" borderId="1" xfId="0" applyNumberFormat="1" applyFont="1" applyFill="1" applyBorder="1" applyAlignment="1">
      <alignment horizontal="center"/>
    </xf>
    <xf numFmtId="167" fontId="12" fillId="18" borderId="20" xfId="0" applyNumberFormat="1" applyFont="1" applyFill="1" applyBorder="1" applyAlignment="1">
      <alignment horizontal="center"/>
    </xf>
    <xf numFmtId="167" fontId="12" fillId="18" borderId="16" xfId="0" applyNumberFormat="1" applyFont="1" applyFill="1" applyBorder="1" applyAlignment="1">
      <alignment horizontal="center"/>
    </xf>
    <xf numFmtId="167" fontId="12" fillId="18" borderId="3" xfId="0" applyNumberFormat="1" applyFont="1" applyFill="1" applyBorder="1" applyAlignment="1">
      <alignment horizontal="center"/>
    </xf>
    <xf numFmtId="167" fontId="12" fillId="18" borderId="40" xfId="0" applyNumberFormat="1" applyFont="1" applyFill="1" applyBorder="1" applyAlignment="1">
      <alignment horizontal="center"/>
    </xf>
    <xf numFmtId="167" fontId="12" fillId="18" borderId="6" xfId="0" applyNumberFormat="1" applyFont="1" applyFill="1" applyBorder="1" applyAlignment="1">
      <alignment horizontal="center"/>
    </xf>
    <xf numFmtId="167" fontId="12" fillId="18" borderId="5" xfId="0" applyNumberFormat="1" applyFont="1" applyFill="1" applyBorder="1" applyAlignment="1">
      <alignment horizontal="center"/>
    </xf>
    <xf numFmtId="167" fontId="12" fillId="18" borderId="33" xfId="0" applyNumberFormat="1" applyFont="1" applyFill="1" applyBorder="1" applyAlignment="1">
      <alignment horizontal="center"/>
    </xf>
    <xf numFmtId="167" fontId="12" fillId="18" borderId="21" xfId="0" applyNumberFormat="1" applyFont="1" applyFill="1" applyBorder="1" applyAlignment="1">
      <alignment horizontal="center"/>
    </xf>
    <xf numFmtId="167" fontId="5" fillId="18" borderId="33" xfId="0" applyNumberFormat="1" applyFont="1" applyFill="1" applyBorder="1" applyAlignment="1">
      <alignment horizontal="center"/>
    </xf>
    <xf numFmtId="167" fontId="5" fillId="18" borderId="40" xfId="0" applyNumberFormat="1" applyFont="1" applyFill="1" applyBorder="1" applyAlignment="1">
      <alignment horizontal="center"/>
    </xf>
    <xf numFmtId="167" fontId="8" fillId="18" borderId="40" xfId="0" applyNumberFormat="1" applyFont="1" applyFill="1" applyBorder="1" applyAlignment="1">
      <alignment horizontal="center"/>
    </xf>
    <xf numFmtId="167" fontId="12" fillId="18" borderId="36" xfId="0" applyNumberFormat="1" applyFont="1" applyFill="1" applyBorder="1" applyAlignment="1">
      <alignment horizontal="center"/>
    </xf>
    <xf numFmtId="167" fontId="5" fillId="18" borderId="36" xfId="0" applyNumberFormat="1" applyFont="1" applyFill="1" applyBorder="1" applyAlignment="1">
      <alignment horizontal="center"/>
    </xf>
    <xf numFmtId="164" fontId="5" fillId="18" borderId="36" xfId="0" applyNumberFormat="1" applyFont="1" applyFill="1" applyBorder="1" applyAlignment="1">
      <alignment horizontal="center"/>
    </xf>
    <xf numFmtId="169" fontId="5" fillId="13" borderId="8" xfId="0" applyNumberFormat="1" applyFont="1" applyFill="1" applyBorder="1" applyAlignment="1">
      <alignment horizontal="center" vertical="center"/>
    </xf>
    <xf numFmtId="2" fontId="5" fillId="12" borderId="8" xfId="0" applyNumberFormat="1" applyFont="1" applyFill="1" applyBorder="1" applyAlignment="1">
      <alignment horizontal="center" vertical="center"/>
    </xf>
    <xf numFmtId="2" fontId="12" fillId="0" borderId="1" xfId="0" applyNumberFormat="1" applyFont="1" applyBorder="1" applyAlignment="1">
      <alignment horizontal="center"/>
    </xf>
    <xf numFmtId="167" fontId="3" fillId="19" borderId="35" xfId="0" applyNumberFormat="1" applyFont="1" applyFill="1" applyBorder="1" applyAlignment="1">
      <alignment horizontal="center"/>
    </xf>
    <xf numFmtId="167" fontId="3" fillId="19" borderId="13" xfId="0" applyNumberFormat="1" applyFont="1" applyFill="1" applyBorder="1" applyAlignment="1">
      <alignment horizontal="center"/>
    </xf>
    <xf numFmtId="167" fontId="3" fillId="19" borderId="26" xfId="0" applyNumberFormat="1" applyFont="1" applyFill="1" applyBorder="1" applyAlignment="1">
      <alignment horizontal="center"/>
    </xf>
    <xf numFmtId="0" fontId="17" fillId="0" borderId="9" xfId="0" applyFont="1" applyBorder="1" applyAlignment="1">
      <alignment horizontal="center"/>
    </xf>
    <xf numFmtId="0" fontId="0" fillId="0" borderId="50" xfId="0" applyBorder="1"/>
    <xf numFmtId="0" fontId="0" fillId="0" borderId="36" xfId="0" applyBorder="1"/>
    <xf numFmtId="0" fontId="3" fillId="0" borderId="72" xfId="0" applyFont="1" applyBorder="1" applyAlignment="1">
      <alignment horizontal="center"/>
    </xf>
    <xf numFmtId="167" fontId="3" fillId="9" borderId="70" xfId="0" applyNumberFormat="1"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169" fontId="12" fillId="13" borderId="9" xfId="0" applyNumberFormat="1" applyFont="1" applyFill="1" applyBorder="1" applyAlignment="1">
      <alignment horizontal="center" vertical="center"/>
    </xf>
    <xf numFmtId="0" fontId="12" fillId="0" borderId="1" xfId="0" applyFont="1" applyBorder="1" applyAlignment="1">
      <alignment horizontal="left"/>
    </xf>
    <xf numFmtId="165" fontId="12" fillId="0" borderId="1" xfId="0" applyNumberFormat="1" applyFont="1" applyBorder="1" applyAlignment="1">
      <alignment horizontal="center" vertical="center"/>
    </xf>
    <xf numFmtId="0" fontId="60" fillId="0" borderId="50" xfId="0" applyFont="1" applyBorder="1" applyAlignment="1">
      <alignment horizontal="left" vertical="top" wrapText="1"/>
    </xf>
    <xf numFmtId="0" fontId="60" fillId="0" borderId="50" xfId="0" applyFont="1" applyBorder="1" applyAlignment="1">
      <alignment horizontal="right" vertical="top" wrapText="1"/>
    </xf>
    <xf numFmtId="0" fontId="16" fillId="16" borderId="3" xfId="1" applyFill="1" applyBorder="1" applyAlignment="1">
      <alignment horizontal="left" vertical="top" wrapText="1"/>
    </xf>
    <xf numFmtId="0" fontId="16" fillId="16" borderId="28" xfId="1" applyFill="1" applyBorder="1" applyAlignment="1">
      <alignment horizontal="left" vertical="top" wrapText="1"/>
    </xf>
    <xf numFmtId="0" fontId="16" fillId="16" borderId="7" xfId="1" applyFill="1" applyBorder="1" applyAlignment="1">
      <alignment horizontal="left" vertical="top" wrapText="1"/>
    </xf>
    <xf numFmtId="0" fontId="44" fillId="14" borderId="66" xfId="0" applyFont="1" applyFill="1" applyBorder="1" applyAlignment="1">
      <alignment horizontal="left"/>
    </xf>
    <xf numFmtId="0" fontId="44" fillId="14" borderId="0" xfId="0" applyFont="1" applyFill="1" applyAlignment="1">
      <alignment horizontal="left"/>
    </xf>
    <xf numFmtId="0" fontId="16" fillId="0" borderId="3" xfId="1" applyBorder="1" applyAlignment="1">
      <alignment horizontal="left" vertical="top" wrapText="1"/>
    </xf>
    <xf numFmtId="0" fontId="16" fillId="0" borderId="28" xfId="1" applyBorder="1" applyAlignment="1">
      <alignment horizontal="left" vertical="top" wrapText="1"/>
    </xf>
    <xf numFmtId="0" fontId="16" fillId="0" borderId="7" xfId="1" applyBorder="1" applyAlignment="1">
      <alignment horizontal="left" vertical="top" wrapText="1"/>
    </xf>
    <xf numFmtId="0" fontId="0" fillId="0" borderId="3" xfId="0" applyBorder="1" applyAlignment="1">
      <alignment horizontal="left" vertical="top" wrapText="1"/>
    </xf>
    <xf numFmtId="0" fontId="0" fillId="0" borderId="28" xfId="0" applyBorder="1" applyAlignment="1">
      <alignment horizontal="left" vertical="top" wrapText="1"/>
    </xf>
    <xf numFmtId="0" fontId="0" fillId="0" borderId="7" xfId="0" applyBorder="1" applyAlignment="1">
      <alignment horizontal="left" vertical="top" wrapText="1"/>
    </xf>
    <xf numFmtId="0" fontId="18" fillId="15" borderId="3" xfId="0" applyFont="1" applyFill="1" applyBorder="1" applyAlignment="1">
      <alignment horizontal="left" vertical="top" wrapText="1"/>
    </xf>
    <xf numFmtId="0" fontId="18" fillId="15" borderId="28" xfId="0" applyFont="1" applyFill="1" applyBorder="1" applyAlignment="1">
      <alignment horizontal="left" vertical="top" wrapText="1"/>
    </xf>
    <xf numFmtId="0" fontId="18" fillId="15" borderId="7" xfId="0" applyFont="1" applyFill="1" applyBorder="1" applyAlignment="1">
      <alignment horizontal="left" vertical="top" wrapText="1"/>
    </xf>
    <xf numFmtId="0" fontId="60" fillId="0" borderId="3" xfId="0" applyFont="1" applyBorder="1" applyAlignment="1">
      <alignment horizontal="left" vertical="top" wrapText="1"/>
    </xf>
    <xf numFmtId="0" fontId="61" fillId="0" borderId="28" xfId="0" applyFont="1" applyBorder="1" applyAlignment="1">
      <alignment horizontal="left" vertical="top" wrapText="1"/>
    </xf>
    <xf numFmtId="0" fontId="61" fillId="0" borderId="7" xfId="0" applyFont="1" applyBorder="1" applyAlignment="1">
      <alignment horizontal="left" vertical="top" wrapText="1"/>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60" fillId="0" borderId="28" xfId="0" applyFont="1" applyBorder="1" applyAlignment="1">
      <alignment horizontal="left" vertical="top" wrapText="1"/>
    </xf>
    <xf numFmtId="0" fontId="60" fillId="0" borderId="7" xfId="0" applyFont="1" applyBorder="1" applyAlignment="1">
      <alignment horizontal="left" vertical="top" wrapText="1"/>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2" fillId="0" borderId="8" xfId="0" applyFont="1" applyBorder="1" applyAlignment="1">
      <alignment horizontal="center" vertical="center"/>
    </xf>
    <xf numFmtId="0" fontId="2" fillId="0" borderId="42" xfId="0" applyFont="1" applyBorder="1" applyAlignment="1">
      <alignment horizontal="center" vertical="center"/>
    </xf>
    <xf numFmtId="0" fontId="12" fillId="0" borderId="30" xfId="0" applyFont="1" applyBorder="1" applyAlignment="1">
      <alignment horizontal="center" vertical="center"/>
    </xf>
    <xf numFmtId="0" fontId="12" fillId="0" borderId="5" xfId="0" applyFont="1" applyBorder="1" applyAlignment="1">
      <alignment horizontal="center" vertical="center"/>
    </xf>
    <xf numFmtId="0" fontId="7" fillId="0" borderId="71" xfId="0" applyFont="1" applyBorder="1" applyAlignment="1">
      <alignment horizontal="center"/>
    </xf>
    <xf numFmtId="0" fontId="7" fillId="0" borderId="49" xfId="0" applyFont="1" applyBorder="1" applyAlignment="1">
      <alignment horizontal="center"/>
    </xf>
    <xf numFmtId="0" fontId="23" fillId="0" borderId="0" xfId="0" applyFont="1" applyAlignment="1">
      <alignment horizontal="left" wrapText="1"/>
    </xf>
    <xf numFmtId="0" fontId="7" fillId="0" borderId="34" xfId="0" applyFont="1" applyBorder="1" applyAlignment="1">
      <alignment horizontal="center" vertical="center"/>
    </xf>
    <xf numFmtId="0" fontId="7" fillId="0" borderId="70"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42" xfId="0" applyFont="1" applyBorder="1" applyAlignment="1">
      <alignment horizontal="center" vertical="center"/>
    </xf>
    <xf numFmtId="0" fontId="2" fillId="0" borderId="2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25" xfId="0" applyFont="1" applyBorder="1" applyAlignment="1">
      <alignment horizontal="center" vertical="center" wrapText="1"/>
    </xf>
    <xf numFmtId="0" fontId="7" fillId="0" borderId="79" xfId="0" applyFont="1" applyBorder="1" applyAlignment="1">
      <alignment horizont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2" fillId="0" borderId="76"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81" xfId="0" applyFont="1" applyBorder="1" applyAlignment="1">
      <alignment horizontal="center" vertical="center" wrapText="1"/>
    </xf>
    <xf numFmtId="0" fontId="5" fillId="0" borderId="76" xfId="0" applyFont="1" applyBorder="1" applyAlignment="1">
      <alignment horizontal="center" vertical="center"/>
    </xf>
    <xf numFmtId="0" fontId="5" fillId="0" borderId="75"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64" xfId="0" applyFont="1" applyBorder="1" applyAlignment="1">
      <alignment horizontal="center" vertical="center"/>
    </xf>
    <xf numFmtId="0" fontId="5" fillId="0" borderId="2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5" fillId="0" borderId="23" xfId="0" applyFont="1" applyBorder="1" applyAlignment="1">
      <alignment horizontal="center" vertical="center"/>
    </xf>
    <xf numFmtId="0" fontId="5" fillId="0" borderId="74" xfId="0" applyFont="1" applyBorder="1" applyAlignment="1">
      <alignment horizontal="center" vertical="center"/>
    </xf>
    <xf numFmtId="0" fontId="5" fillId="0" borderId="25" xfId="0" applyFont="1" applyBorder="1" applyAlignment="1">
      <alignment horizontal="center" vertical="center"/>
    </xf>
    <xf numFmtId="0" fontId="23" fillId="0" borderId="50" xfId="0" applyFont="1" applyBorder="1" applyAlignment="1">
      <alignment horizontal="left"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0" xfId="0" applyFont="1" applyBorder="1" applyAlignment="1">
      <alignment horizontal="center" vertical="center"/>
    </xf>
    <xf numFmtId="0" fontId="7" fillId="0" borderId="38" xfId="0" applyFont="1" applyBorder="1" applyAlignment="1">
      <alignment horizontal="center" vertical="center"/>
    </xf>
    <xf numFmtId="17" fontId="5" fillId="0" borderId="55" xfId="0" applyNumberFormat="1" applyFont="1" applyBorder="1" applyAlignment="1">
      <alignment horizontal="center" vertical="center"/>
    </xf>
    <xf numFmtId="0" fontId="5" fillId="0" borderId="27" xfId="0" applyFont="1" applyBorder="1" applyAlignment="1">
      <alignment horizontal="center" vertical="center"/>
    </xf>
    <xf numFmtId="0" fontId="60" fillId="0" borderId="5" xfId="0" applyFont="1" applyBorder="1" applyAlignment="1">
      <alignment horizontal="left" vertical="top" wrapText="1"/>
    </xf>
    <xf numFmtId="0" fontId="60" fillId="0" borderId="52" xfId="0" applyFont="1" applyBorder="1" applyAlignment="1">
      <alignment horizontal="left" vertical="top" wrapText="1"/>
    </xf>
    <xf numFmtId="0" fontId="60" fillId="0" borderId="40" xfId="0" applyFont="1" applyBorder="1" applyAlignment="1">
      <alignment horizontal="left" vertical="top" wrapText="1"/>
    </xf>
    <xf numFmtId="0" fontId="3" fillId="0" borderId="12" xfId="0" applyFont="1" applyBorder="1" applyAlignment="1">
      <alignment horizontal="center" vertical="center"/>
    </xf>
    <xf numFmtId="0" fontId="60" fillId="0" borderId="2" xfId="0" applyFont="1" applyBorder="1" applyAlignment="1">
      <alignment horizontal="left" vertical="top" wrapText="1"/>
    </xf>
    <xf numFmtId="0" fontId="60" fillId="0" borderId="50" xfId="0" applyFont="1" applyBorder="1" applyAlignment="1">
      <alignment horizontal="left" vertical="top"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7" fillId="0" borderId="11" xfId="0" applyFont="1" applyBorder="1" applyAlignment="1">
      <alignment horizontal="center" vertical="center"/>
    </xf>
    <xf numFmtId="0" fontId="17" fillId="0" borderId="29"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15" fillId="0" borderId="5" xfId="0" applyFont="1" applyBorder="1" applyAlignment="1">
      <alignment horizontal="left" vertical="top" wrapText="1"/>
    </xf>
    <xf numFmtId="0" fontId="15" fillId="0" borderId="52" xfId="0" applyFont="1" applyBorder="1" applyAlignment="1">
      <alignment horizontal="left" vertical="top" wrapText="1"/>
    </xf>
    <xf numFmtId="0" fontId="15" fillId="0" borderId="40" xfId="0" applyFont="1" applyBorder="1" applyAlignment="1">
      <alignment horizontal="left" vertical="top" wrapText="1"/>
    </xf>
    <xf numFmtId="0" fontId="60" fillId="0" borderId="2" xfId="0" applyFont="1" applyBorder="1" applyAlignment="1">
      <alignment vertical="top" wrapText="1"/>
    </xf>
    <xf numFmtId="0" fontId="60" fillId="0" borderId="50" xfId="0" applyFont="1" applyBorder="1" applyAlignment="1">
      <alignment vertical="top" wrapText="1"/>
    </xf>
    <xf numFmtId="0" fontId="60" fillId="0" borderId="36" xfId="0" applyFont="1" applyBorder="1" applyAlignment="1">
      <alignment vertical="top" wrapText="1"/>
    </xf>
    <xf numFmtId="167" fontId="7" fillId="0" borderId="11" xfId="0" applyNumberFormat="1" applyFont="1" applyBorder="1" applyAlignment="1">
      <alignment horizontal="center" vertical="center" wrapText="1"/>
    </xf>
    <xf numFmtId="167" fontId="7" fillId="0" borderId="29" xfId="0" applyNumberFormat="1" applyFont="1" applyBorder="1" applyAlignment="1">
      <alignment horizontal="center" vertical="center" wrapText="1"/>
    </xf>
    <xf numFmtId="0" fontId="7" fillId="0" borderId="29" xfId="0" applyFont="1" applyBorder="1" applyAlignment="1">
      <alignment horizontal="center" vertical="center" wrapText="1"/>
    </xf>
    <xf numFmtId="167" fontId="7" fillId="0" borderId="38" xfId="0" applyNumberFormat="1" applyFont="1" applyBorder="1" applyAlignment="1">
      <alignment horizontal="center" vertical="center" wrapText="1"/>
    </xf>
    <xf numFmtId="167" fontId="7" fillId="0" borderId="34" xfId="0" applyNumberFormat="1" applyFont="1" applyBorder="1" applyAlignment="1">
      <alignment horizontal="center" vertical="center" wrapText="1"/>
    </xf>
    <xf numFmtId="167" fontId="7" fillId="0" borderId="37"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9" xfId="0" applyFont="1" applyBorder="1" applyAlignment="1">
      <alignment horizontal="center" vertical="center" wrapText="1"/>
    </xf>
    <xf numFmtId="0" fontId="62" fillId="0" borderId="3" xfId="1" applyFont="1" applyBorder="1" applyAlignment="1">
      <alignment horizontal="left" vertical="top" wrapText="1"/>
    </xf>
    <xf numFmtId="0" fontId="62" fillId="0" borderId="28" xfId="1" applyFont="1" applyBorder="1" applyAlignment="1">
      <alignment horizontal="left" vertical="top" wrapText="1"/>
    </xf>
    <xf numFmtId="0" fontId="62" fillId="0" borderId="7" xfId="1" applyFont="1" applyBorder="1" applyAlignment="1">
      <alignment horizontal="left" vertical="top" wrapText="1"/>
    </xf>
    <xf numFmtId="167" fontId="7" fillId="0" borderId="12" xfId="0" applyNumberFormat="1" applyFont="1" applyBorder="1" applyAlignment="1">
      <alignment horizontal="center" vertical="center" wrapText="1"/>
    </xf>
    <xf numFmtId="4" fontId="7" fillId="9" borderId="71" xfId="0" applyNumberFormat="1" applyFont="1" applyFill="1" applyBorder="1" applyAlignment="1">
      <alignment horizontal="center" vertical="center"/>
    </xf>
    <xf numFmtId="4" fontId="7" fillId="9" borderId="49" xfId="0" applyNumberFormat="1" applyFont="1" applyFill="1" applyBorder="1" applyAlignment="1">
      <alignment horizontal="center" vertical="center"/>
    </xf>
    <xf numFmtId="4" fontId="7" fillId="0" borderId="11" xfId="0" applyNumberFormat="1" applyFont="1" applyBorder="1" applyAlignment="1">
      <alignment horizontal="center" vertical="center" wrapText="1"/>
    </xf>
    <xf numFmtId="4" fontId="7" fillId="0" borderId="29"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167" fontId="7" fillId="0" borderId="17" xfId="0" applyNumberFormat="1" applyFont="1" applyBorder="1" applyAlignment="1">
      <alignment horizontal="center" vertical="center" wrapText="1"/>
    </xf>
    <xf numFmtId="167" fontId="7" fillId="0" borderId="31" xfId="0" applyNumberFormat="1" applyFont="1" applyBorder="1" applyAlignment="1">
      <alignment horizontal="center" vertical="center" wrapText="1"/>
    </xf>
    <xf numFmtId="0" fontId="0" fillId="0" borderId="0" xfId="0" applyAlignment="1">
      <alignment horizontal="center"/>
    </xf>
    <xf numFmtId="0" fontId="0" fillId="0" borderId="62" xfId="0" applyBorder="1" applyAlignment="1">
      <alignment horizontal="center"/>
    </xf>
  </cellXfs>
  <cellStyles count="7">
    <cellStyle name="Even" xfId="2" xr:uid="{A70C19A1-C3EF-4786-85ED-3DAE9F341753}"/>
    <cellStyle name="Hüperlink" xfId="1" builtinId="8"/>
    <cellStyle name="Mudeli alamleht" xfId="6" xr:uid="{45716488-2E3E-4358-988C-6C449AE54B96}"/>
    <cellStyle name="Normaallaad" xfId="0" builtinId="0"/>
    <cellStyle name="Odd" xfId="3" xr:uid="{8A56CE27-123F-4CDC-B024-A75357C84734}"/>
    <cellStyle name="Protsent" xfId="5" builtinId="5"/>
    <cellStyle name="Selection" xfId="4" xr:uid="{C62767D0-0C49-4B22-8131-CA9A30B153B2}"/>
  </cellStyles>
  <dxfs count="2">
    <dxf>
      <fill>
        <patternFill>
          <bgColor rgb="FFCCFF99"/>
        </patternFill>
      </fill>
    </dxf>
    <dxf>
      <fill>
        <patternFill>
          <bgColor rgb="FFFFFF99"/>
        </patternFill>
      </fill>
    </dxf>
  </dxfs>
  <tableStyles count="0" defaultTableStyle="TableStyleMedium9" defaultPivotStyle="PivotStyleLight16"/>
  <colors>
    <mruColors>
      <color rgb="FF559E54"/>
      <color rgb="FF98CA32"/>
      <color rgb="FFE4F132"/>
      <color rgb="FFFEFE33"/>
      <color rgb="FFF7E7D4"/>
      <color rgb="FFFB8604"/>
      <color rgb="FFFCBA12"/>
      <color rgb="FF0A3409"/>
      <color rgb="FFB2D732"/>
      <color rgb="FFFCCB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202</a:t>
            </a:r>
            <a:r>
              <a:rPr lang="et-EE" sz="1050" b="1"/>
              <a:t>4</a:t>
            </a:r>
            <a:endParaRPr lang="en-US" sz="1050" b="1"/>
          </a:p>
        </c:rich>
      </c:tx>
      <c:overlay val="0"/>
      <c:spPr>
        <a:noFill/>
        <a:ln>
          <a:noFill/>
        </a:ln>
        <a:effectLst/>
      </c:spPr>
    </c:title>
    <c:autoTitleDeleted val="0"/>
    <c:plotArea>
      <c:layout/>
      <c:lineChart>
        <c:grouping val="standard"/>
        <c:varyColors val="0"/>
        <c:ser>
          <c:idx val="0"/>
          <c:order val="0"/>
          <c:tx>
            <c:strRef>
              <c:f>ELEKTER!$C$26</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ELEKTER!$D$26:$O$26</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B5C-47AA-80EA-1E815F7DD22F}"/>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2025</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ELEKTER!$C$31</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ELEKTER!$D$31:$O$31</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C40-45D9-94A4-0B0C6706B6DD}"/>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2026</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ELEKTER!$C$36</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ELEKTER!$D$36:$O$36</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BBE-4F2D-BC84-FF9639BE5D44}"/>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2027</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ELEKTER!$C$41</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ELEKTER!$D$41:$O$41</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2A7-4AD8-88BA-BD08973BE567}"/>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2028</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ELEKTER!$C$46</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ELEKTER!$D$46:$O$46</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FDD-4A5A-A88B-7445BC5CECC1}"/>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202</a:t>
            </a:r>
            <a:r>
              <a:rPr lang="et-EE" sz="1050" b="1"/>
              <a:t>3</a:t>
            </a:r>
            <a:endParaRPr lang="en-US" sz="1050" b="1"/>
          </a:p>
        </c:rich>
      </c:tx>
      <c:overlay val="0"/>
      <c:spPr>
        <a:noFill/>
        <a:ln>
          <a:noFill/>
        </a:ln>
        <a:effectLst/>
      </c:spPr>
    </c:title>
    <c:autoTitleDeleted val="0"/>
    <c:plotArea>
      <c:layout/>
      <c:lineChart>
        <c:grouping val="standard"/>
        <c:varyColors val="0"/>
        <c:ser>
          <c:idx val="0"/>
          <c:order val="0"/>
          <c:tx>
            <c:strRef>
              <c:f>ELEKTER!$C$21</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ELEKTER!$D$21:$O$21</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CA5-4ADE-8836-9443A9FB99AF}"/>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202</a:t>
            </a:r>
            <a:r>
              <a:rPr lang="et-EE" sz="1050" b="1"/>
              <a:t>2</a:t>
            </a:r>
            <a:endParaRPr lang="en-US" sz="1050" b="1"/>
          </a:p>
        </c:rich>
      </c:tx>
      <c:overlay val="0"/>
      <c:spPr>
        <a:noFill/>
        <a:ln>
          <a:noFill/>
        </a:ln>
        <a:effectLst/>
      </c:spPr>
    </c:title>
    <c:autoTitleDeleted val="0"/>
    <c:plotArea>
      <c:layout/>
      <c:lineChart>
        <c:grouping val="standard"/>
        <c:varyColors val="0"/>
        <c:ser>
          <c:idx val="0"/>
          <c:order val="0"/>
          <c:tx>
            <c:strRef>
              <c:f>ELEKTER!$C$16</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ELEKTER!$D$16:$O$16</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CDA-42D3-B086-03763EBEE378}"/>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SOOJUS!$B$16</c:f>
          <c:strCache>
            <c:ptCount val="1"/>
            <c:pt idx="0">
              <c:v>2022</c:v>
            </c:pt>
          </c:strCache>
        </c:strRef>
      </c:tx>
      <c:overlay val="0"/>
      <c:txPr>
        <a:bodyPr/>
        <a:lstStyle/>
        <a:p>
          <a:pPr>
            <a:defRPr sz="1000"/>
          </a:pPr>
          <a:endParaRPr lang="et-EE"/>
        </a:p>
      </c:txPr>
    </c:title>
    <c:autoTitleDeleted val="0"/>
    <c:plotArea>
      <c:layout/>
      <c:lineChart>
        <c:grouping val="standard"/>
        <c:varyColors val="0"/>
        <c:ser>
          <c:idx val="1"/>
          <c:order val="0"/>
          <c:tx>
            <c:strRef>
              <c:f>SOOJUS!$C$16</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SOOJUS!$D$16:$O$16</c:f>
              <c:numCache>
                <c:formatCode>#\ ##0.0</c:formatCode>
                <c:ptCount val="12"/>
              </c:numCache>
            </c:numRef>
          </c:val>
          <c:smooth val="0"/>
          <c:extLst>
            <c:ext xmlns:c16="http://schemas.microsoft.com/office/drawing/2014/chart" uri="{C3380CC4-5D6E-409C-BE32-E72D297353CC}">
              <c16:uniqueId val="{00000000-C567-4C93-9F68-9C7887B50E74}"/>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SOOJUS!$B$18</c:f>
          <c:strCache>
            <c:ptCount val="1"/>
            <c:pt idx="0">
              <c:v>2023</c:v>
            </c:pt>
          </c:strCache>
        </c:strRef>
      </c:tx>
      <c:overlay val="0"/>
      <c:txPr>
        <a:bodyPr/>
        <a:lstStyle/>
        <a:p>
          <a:pPr>
            <a:defRPr sz="1000"/>
          </a:pPr>
          <a:endParaRPr lang="et-EE"/>
        </a:p>
      </c:txPr>
    </c:title>
    <c:autoTitleDeleted val="0"/>
    <c:plotArea>
      <c:layout/>
      <c:lineChart>
        <c:grouping val="standard"/>
        <c:varyColors val="0"/>
        <c:ser>
          <c:idx val="1"/>
          <c:order val="0"/>
          <c:tx>
            <c:strRef>
              <c:f>SOOJUS!$C$18</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SOOJUS!$D$18:$O$18</c:f>
              <c:numCache>
                <c:formatCode>#\ ##0.0</c:formatCode>
                <c:ptCount val="12"/>
              </c:numCache>
            </c:numRef>
          </c:val>
          <c:smooth val="0"/>
          <c:extLst>
            <c:ext xmlns:c16="http://schemas.microsoft.com/office/drawing/2014/chart" uri="{C3380CC4-5D6E-409C-BE32-E72D297353CC}">
              <c16:uniqueId val="{00000000-6C74-4E3C-83FF-281E55084A5B}"/>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SOOJUS!$B$20</c:f>
          <c:strCache>
            <c:ptCount val="1"/>
            <c:pt idx="0">
              <c:v>2024</c:v>
            </c:pt>
          </c:strCache>
        </c:strRef>
      </c:tx>
      <c:overlay val="0"/>
      <c:txPr>
        <a:bodyPr/>
        <a:lstStyle/>
        <a:p>
          <a:pPr>
            <a:defRPr sz="1000"/>
          </a:pPr>
          <a:endParaRPr lang="et-EE"/>
        </a:p>
      </c:txPr>
    </c:title>
    <c:autoTitleDeleted val="0"/>
    <c:plotArea>
      <c:layout/>
      <c:lineChart>
        <c:grouping val="standard"/>
        <c:varyColors val="0"/>
        <c:ser>
          <c:idx val="1"/>
          <c:order val="0"/>
          <c:tx>
            <c:strRef>
              <c:f>SOOJUS!$C$20</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SOOJUS!$D$20:$O$20</c:f>
              <c:numCache>
                <c:formatCode>#\ ##0.0</c:formatCode>
                <c:ptCount val="12"/>
              </c:numCache>
            </c:numRef>
          </c:val>
          <c:smooth val="0"/>
          <c:extLst>
            <c:ext xmlns:c16="http://schemas.microsoft.com/office/drawing/2014/chart" uri="{C3380CC4-5D6E-409C-BE32-E72D297353CC}">
              <c16:uniqueId val="{00000000-0FE2-4DD1-82E5-513D274D120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SOOJUS!$B$22</c:f>
          <c:strCache>
            <c:ptCount val="1"/>
            <c:pt idx="0">
              <c:v>2025</c:v>
            </c:pt>
          </c:strCache>
        </c:strRef>
      </c:tx>
      <c:overlay val="0"/>
      <c:txPr>
        <a:bodyPr/>
        <a:lstStyle/>
        <a:p>
          <a:pPr>
            <a:defRPr sz="1000"/>
          </a:pPr>
          <a:endParaRPr lang="et-EE"/>
        </a:p>
      </c:txPr>
    </c:title>
    <c:autoTitleDeleted val="0"/>
    <c:plotArea>
      <c:layout/>
      <c:lineChart>
        <c:grouping val="standard"/>
        <c:varyColors val="0"/>
        <c:ser>
          <c:idx val="1"/>
          <c:order val="0"/>
          <c:tx>
            <c:strRef>
              <c:f>SOOJUS!$C$22</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SOOJUS!$D$22:$O$22</c:f>
              <c:numCache>
                <c:formatCode>#\ ##0.0</c:formatCode>
                <c:ptCount val="12"/>
              </c:numCache>
            </c:numRef>
          </c:val>
          <c:smooth val="0"/>
          <c:extLst>
            <c:ext xmlns:c16="http://schemas.microsoft.com/office/drawing/2014/chart" uri="{C3380CC4-5D6E-409C-BE32-E72D297353CC}">
              <c16:uniqueId val="{00000000-809D-4191-98DE-F779DBCB7183}"/>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SOOJUS!$B$24</c:f>
          <c:strCache>
            <c:ptCount val="1"/>
            <c:pt idx="0">
              <c:v>2026</c:v>
            </c:pt>
          </c:strCache>
        </c:strRef>
      </c:tx>
      <c:overlay val="0"/>
      <c:txPr>
        <a:bodyPr/>
        <a:lstStyle/>
        <a:p>
          <a:pPr>
            <a:defRPr sz="1000"/>
          </a:pPr>
          <a:endParaRPr lang="et-EE"/>
        </a:p>
      </c:txPr>
    </c:title>
    <c:autoTitleDeleted val="0"/>
    <c:plotArea>
      <c:layout/>
      <c:lineChart>
        <c:grouping val="standard"/>
        <c:varyColors val="0"/>
        <c:ser>
          <c:idx val="1"/>
          <c:order val="0"/>
          <c:tx>
            <c:strRef>
              <c:f>SOOJUS!$C$24</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SOOJUS!$D$24:$O$24</c:f>
              <c:numCache>
                <c:formatCode>#\ ##0.0</c:formatCode>
                <c:ptCount val="12"/>
              </c:numCache>
            </c:numRef>
          </c:val>
          <c:smooth val="0"/>
          <c:extLst>
            <c:ext xmlns:c16="http://schemas.microsoft.com/office/drawing/2014/chart" uri="{C3380CC4-5D6E-409C-BE32-E72D297353CC}">
              <c16:uniqueId val="{00000000-91FE-4B32-8D55-2CC3B048839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SOOJUS!$B$26</c:f>
          <c:strCache>
            <c:ptCount val="1"/>
            <c:pt idx="0">
              <c:v>2027</c:v>
            </c:pt>
          </c:strCache>
        </c:strRef>
      </c:tx>
      <c:overlay val="0"/>
      <c:txPr>
        <a:bodyPr/>
        <a:lstStyle/>
        <a:p>
          <a:pPr>
            <a:defRPr sz="1000"/>
          </a:pPr>
          <a:endParaRPr lang="et-EE"/>
        </a:p>
      </c:txPr>
    </c:title>
    <c:autoTitleDeleted val="0"/>
    <c:plotArea>
      <c:layout/>
      <c:lineChart>
        <c:grouping val="standard"/>
        <c:varyColors val="0"/>
        <c:ser>
          <c:idx val="1"/>
          <c:order val="0"/>
          <c:tx>
            <c:strRef>
              <c:f>SOOJUS!$C$26</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SOOJUS!$D$26:$O$26</c:f>
              <c:numCache>
                <c:formatCode>#\ ##0.0</c:formatCode>
                <c:ptCount val="12"/>
              </c:numCache>
            </c:numRef>
          </c:val>
          <c:smooth val="0"/>
          <c:extLst>
            <c:ext xmlns:c16="http://schemas.microsoft.com/office/drawing/2014/chart" uri="{C3380CC4-5D6E-409C-BE32-E72D297353CC}">
              <c16:uniqueId val="{00000000-9D08-4076-8611-40E394E02126}"/>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SOOJUS!$B$28</c:f>
          <c:strCache>
            <c:ptCount val="1"/>
            <c:pt idx="0">
              <c:v>2028</c:v>
            </c:pt>
          </c:strCache>
        </c:strRef>
      </c:tx>
      <c:overlay val="0"/>
      <c:txPr>
        <a:bodyPr/>
        <a:lstStyle/>
        <a:p>
          <a:pPr>
            <a:defRPr sz="1000"/>
          </a:pPr>
          <a:endParaRPr lang="et-EE"/>
        </a:p>
      </c:txPr>
    </c:title>
    <c:autoTitleDeleted val="0"/>
    <c:plotArea>
      <c:layout/>
      <c:lineChart>
        <c:grouping val="standard"/>
        <c:varyColors val="0"/>
        <c:ser>
          <c:idx val="1"/>
          <c:order val="0"/>
          <c:tx>
            <c:strRef>
              <c:f>SOOJUS!$C$28</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SOOJUS!$D$28:$O$28</c:f>
              <c:numCache>
                <c:formatCode>#\ ##0.0</c:formatCode>
                <c:ptCount val="12"/>
              </c:numCache>
            </c:numRef>
          </c:val>
          <c:smooth val="0"/>
          <c:extLst>
            <c:ext xmlns:c16="http://schemas.microsoft.com/office/drawing/2014/chart" uri="{C3380CC4-5D6E-409C-BE32-E72D297353CC}">
              <c16:uniqueId val="{00000000-41EC-4D57-81FD-C6985708A9AD}"/>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VESI!$B$17</c:f>
          <c:strCache>
            <c:ptCount val="1"/>
            <c:pt idx="0">
              <c:v>2024</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VESI!$C$17</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VESI!$D$17:$O$17</c:f>
              <c:numCache>
                <c:formatCode>#\ ##0.0</c:formatCode>
                <c:ptCount val="12"/>
              </c:numCache>
            </c:numRef>
          </c:val>
          <c:smooth val="0"/>
          <c:extLst>
            <c:ext xmlns:c16="http://schemas.microsoft.com/office/drawing/2014/chart" uri="{C3380CC4-5D6E-409C-BE32-E72D297353CC}">
              <c16:uniqueId val="{00000000-7373-4A78-AC06-4383297A597C}"/>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VESI!$B$19</c:f>
          <c:strCache>
            <c:ptCount val="1"/>
            <c:pt idx="0">
              <c:v>2025</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VESI!$C$19</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VESI!$D$19:$O$19</c:f>
              <c:numCache>
                <c:formatCode>#\ ##0.0</c:formatCode>
                <c:ptCount val="12"/>
              </c:numCache>
            </c:numRef>
          </c:val>
          <c:smooth val="0"/>
          <c:extLst>
            <c:ext xmlns:c16="http://schemas.microsoft.com/office/drawing/2014/chart" uri="{C3380CC4-5D6E-409C-BE32-E72D297353CC}">
              <c16:uniqueId val="{00000000-AF7B-4586-AD94-CA689D150A67}"/>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VESI!$B$21</c:f>
          <c:strCache>
            <c:ptCount val="1"/>
            <c:pt idx="0">
              <c:v>2026</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VESI!$C$21</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VESI!$D$21:$O$21</c:f>
              <c:numCache>
                <c:formatCode>#\ ##0.0</c:formatCode>
                <c:ptCount val="12"/>
              </c:numCache>
            </c:numRef>
          </c:val>
          <c:smooth val="0"/>
          <c:extLst>
            <c:ext xmlns:c16="http://schemas.microsoft.com/office/drawing/2014/chart" uri="{C3380CC4-5D6E-409C-BE32-E72D297353CC}">
              <c16:uniqueId val="{00000000-BE21-4F08-B5A9-1D15DF12CDA4}"/>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VESI!$B$23</c:f>
          <c:strCache>
            <c:ptCount val="1"/>
            <c:pt idx="0">
              <c:v>2027</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VESI!$C$23</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VESI!$D$23:$O$23</c:f>
              <c:numCache>
                <c:formatCode>#\ ##0.0</c:formatCode>
                <c:ptCount val="12"/>
              </c:numCache>
            </c:numRef>
          </c:val>
          <c:smooth val="0"/>
          <c:extLst>
            <c:ext xmlns:c16="http://schemas.microsoft.com/office/drawing/2014/chart" uri="{C3380CC4-5D6E-409C-BE32-E72D297353CC}">
              <c16:uniqueId val="{00000000-5AD9-4D82-B8A0-5FE575509431}"/>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VESI!$B$25</c:f>
          <c:strCache>
            <c:ptCount val="1"/>
            <c:pt idx="0">
              <c:v>2028</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VESI!$C$25</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VESI!$D$25:$O$25</c:f>
              <c:numCache>
                <c:formatCode>#\ ##0.0</c:formatCode>
                <c:ptCount val="12"/>
              </c:numCache>
            </c:numRef>
          </c:val>
          <c:smooth val="0"/>
          <c:extLst>
            <c:ext xmlns:c16="http://schemas.microsoft.com/office/drawing/2014/chart" uri="{C3380CC4-5D6E-409C-BE32-E72D297353CC}">
              <c16:uniqueId val="{00000000-0295-4910-8138-E10BF21575B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VESI!$B$13</c:f>
          <c:strCache>
            <c:ptCount val="1"/>
            <c:pt idx="0">
              <c:v>2022</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VESI!$C$13</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VESI!$D$13:$O$13</c:f>
              <c:numCache>
                <c:formatCode>#\ ##0.0</c:formatCode>
                <c:ptCount val="12"/>
              </c:numCache>
            </c:numRef>
          </c:val>
          <c:smooth val="0"/>
          <c:extLst>
            <c:ext xmlns:c16="http://schemas.microsoft.com/office/drawing/2014/chart" uri="{C3380CC4-5D6E-409C-BE32-E72D297353CC}">
              <c16:uniqueId val="{00000000-3175-407E-94C6-EA42C0116DBC}"/>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VESI!$B$15</c:f>
          <c:strCache>
            <c:ptCount val="1"/>
            <c:pt idx="0">
              <c:v>2023</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VESI!$C$15</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VESI!$D$15:$O$15</c:f>
              <c:numCache>
                <c:formatCode>#\ ##0.0</c:formatCode>
                <c:ptCount val="12"/>
              </c:numCache>
            </c:numRef>
          </c:val>
          <c:smooth val="0"/>
          <c:extLst>
            <c:ext xmlns:c16="http://schemas.microsoft.com/office/drawing/2014/chart" uri="{C3380CC4-5D6E-409C-BE32-E72D297353CC}">
              <c16:uniqueId val="{00000000-455C-4806-860F-7B5707B08B2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KOOND!$B$55</c:f>
              <c:strCache>
                <c:ptCount val="1"/>
                <c:pt idx="0">
                  <c:v>Olmejäätmete teke külastaja kohta (kg/in)</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KOOND!$C$46:$I$46</c:f>
              <c:numCache>
                <c:formatCode>General</c:formatCode>
                <c:ptCount val="7"/>
                <c:pt idx="0">
                  <c:v>2022</c:v>
                </c:pt>
                <c:pt idx="1">
                  <c:v>2023</c:v>
                </c:pt>
                <c:pt idx="2">
                  <c:v>2024</c:v>
                </c:pt>
                <c:pt idx="3">
                  <c:v>2025</c:v>
                </c:pt>
                <c:pt idx="4">
                  <c:v>2026</c:v>
                </c:pt>
                <c:pt idx="5">
                  <c:v>2027</c:v>
                </c:pt>
                <c:pt idx="6">
                  <c:v>2028</c:v>
                </c:pt>
              </c:numCache>
            </c:numRef>
          </c:cat>
          <c:val>
            <c:numRef>
              <c:f>KOOND!$C$55:$I$55</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80E-4F68-B549-E4BC3940B606}"/>
            </c:ext>
          </c:extLst>
        </c:ser>
        <c:dLbls>
          <c:showLegendKey val="0"/>
          <c:showVal val="1"/>
          <c:showCatName val="0"/>
          <c:showSerName val="0"/>
          <c:showPercent val="0"/>
          <c:showBubbleSize val="0"/>
        </c:dLbls>
        <c:marker val="1"/>
        <c:smooth val="0"/>
        <c:axId val="1090777784"/>
        <c:axId val="1090782704"/>
      </c:lineChart>
      <c:catAx>
        <c:axId val="1090777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090782704"/>
        <c:crosses val="autoZero"/>
        <c:auto val="1"/>
        <c:lblAlgn val="ctr"/>
        <c:lblOffset val="100"/>
        <c:noMultiLvlLbl val="0"/>
      </c:catAx>
      <c:valAx>
        <c:axId val="1090782704"/>
        <c:scaling>
          <c:orientation val="minMax"/>
        </c:scaling>
        <c:delete val="1"/>
        <c:axPos val="l"/>
        <c:numFmt formatCode="#\ ##0.0" sourceLinked="1"/>
        <c:majorTickMark val="none"/>
        <c:minorTickMark val="none"/>
        <c:tickLblPos val="nextTo"/>
        <c:crossAx val="10907777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KOOND!$B$14</c:f>
              <c:strCache>
                <c:ptCount val="1"/>
                <c:pt idx="0">
                  <c:v>Elektrienergia tarbimine külastaja kohta (kWh/in)</c:v>
                </c:pt>
              </c:strCache>
            </c:strRef>
          </c:tx>
          <c:spPr>
            <a:ln w="22225" cap="rnd">
              <a:solidFill>
                <a:schemeClr val="dk1">
                  <a:tint val="88500"/>
                </a:schemeClr>
              </a:solidFill>
              <a:round/>
            </a:ln>
            <a:effectLst/>
          </c:spPr>
          <c:marker>
            <c:symbol val="diamond"/>
            <c:size val="6"/>
            <c:spPr>
              <a:solidFill>
                <a:schemeClr val="dk1">
                  <a:tint val="88500"/>
                </a:schemeClr>
              </a:solidFill>
              <a:ln w="9525">
                <a:solidFill>
                  <a:schemeClr val="dk1">
                    <a:tint val="88500"/>
                  </a:schemeClr>
                </a:solidFill>
                <a:round/>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KOOND!$C$10:$I$10</c:f>
              <c:numCache>
                <c:formatCode>General</c:formatCode>
                <c:ptCount val="7"/>
                <c:pt idx="0">
                  <c:v>2022</c:v>
                </c:pt>
                <c:pt idx="1">
                  <c:v>2023</c:v>
                </c:pt>
                <c:pt idx="2">
                  <c:v>2024</c:v>
                </c:pt>
                <c:pt idx="3">
                  <c:v>2025</c:v>
                </c:pt>
                <c:pt idx="4">
                  <c:v>2026</c:v>
                </c:pt>
                <c:pt idx="5">
                  <c:v>2027</c:v>
                </c:pt>
                <c:pt idx="6">
                  <c:v>2028</c:v>
                </c:pt>
              </c:numCache>
            </c:numRef>
          </c:cat>
          <c:val>
            <c:numRef>
              <c:f>KOOND!$C$14:$I$14</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DC5-4078-A193-4DDE0AF24DEC}"/>
            </c:ext>
          </c:extLst>
        </c:ser>
        <c:dLbls>
          <c:showLegendKey val="0"/>
          <c:showVal val="1"/>
          <c:showCatName val="0"/>
          <c:showSerName val="0"/>
          <c:showPercent val="0"/>
          <c:showBubbleSize val="0"/>
        </c:dLbls>
        <c:marker val="1"/>
        <c:smooth val="0"/>
        <c:axId val="743040032"/>
        <c:axId val="743047576"/>
      </c:lineChart>
      <c:catAx>
        <c:axId val="743040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743047576"/>
        <c:crosses val="autoZero"/>
        <c:auto val="1"/>
        <c:lblAlgn val="ctr"/>
        <c:lblOffset val="100"/>
        <c:noMultiLvlLbl val="0"/>
      </c:catAx>
      <c:valAx>
        <c:axId val="743047576"/>
        <c:scaling>
          <c:orientation val="minMax"/>
        </c:scaling>
        <c:delete val="1"/>
        <c:axPos val="l"/>
        <c:numFmt formatCode="#\ ##0.0" sourceLinked="1"/>
        <c:majorTickMark val="none"/>
        <c:minorTickMark val="none"/>
        <c:tickLblPos val="nextTo"/>
        <c:crossAx val="743040032"/>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KOOND!$B$13</c:f>
              <c:strCache>
                <c:ptCount val="1"/>
                <c:pt idx="0">
                  <c:v>Elektrienergia tarbimine kokku (kWh)</c:v>
                </c:pt>
              </c:strCache>
            </c:strRef>
          </c:tx>
          <c:spPr>
            <a:ln w="22225" cap="rnd">
              <a:solidFill>
                <a:schemeClr val="dk1">
                  <a:tint val="88500"/>
                </a:schemeClr>
              </a:solidFill>
              <a:round/>
            </a:ln>
            <a:effectLst/>
          </c:spPr>
          <c:marker>
            <c:symbol val="diamond"/>
            <c:size val="6"/>
            <c:spPr>
              <a:solidFill>
                <a:schemeClr val="dk1">
                  <a:tint val="88500"/>
                </a:schemeClr>
              </a:solidFill>
              <a:ln w="9525">
                <a:solidFill>
                  <a:schemeClr val="dk1">
                    <a:tint val="885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KOOND!$C$10:$I$10</c:f>
              <c:numCache>
                <c:formatCode>General</c:formatCode>
                <c:ptCount val="7"/>
                <c:pt idx="0">
                  <c:v>2022</c:v>
                </c:pt>
                <c:pt idx="1">
                  <c:v>2023</c:v>
                </c:pt>
                <c:pt idx="2">
                  <c:v>2024</c:v>
                </c:pt>
                <c:pt idx="3">
                  <c:v>2025</c:v>
                </c:pt>
                <c:pt idx="4">
                  <c:v>2026</c:v>
                </c:pt>
                <c:pt idx="5">
                  <c:v>2027</c:v>
                </c:pt>
                <c:pt idx="6">
                  <c:v>2028</c:v>
                </c:pt>
              </c:numCache>
            </c:numRef>
          </c:cat>
          <c:val>
            <c:numRef>
              <c:f>KOOND!$C$13:$I$13</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814-4562-AE2B-B722BD86FBE6}"/>
            </c:ext>
          </c:extLst>
        </c:ser>
        <c:dLbls>
          <c:dLblPos val="t"/>
          <c:showLegendKey val="0"/>
          <c:showVal val="1"/>
          <c:showCatName val="0"/>
          <c:showSerName val="0"/>
          <c:showPercent val="0"/>
          <c:showBubbleSize val="0"/>
        </c:dLbls>
        <c:marker val="1"/>
        <c:smooth val="0"/>
        <c:axId val="322193600"/>
        <c:axId val="322200672"/>
      </c:lineChart>
      <c:catAx>
        <c:axId val="322193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22200672"/>
        <c:crosses val="autoZero"/>
        <c:auto val="1"/>
        <c:lblAlgn val="ctr"/>
        <c:lblOffset val="100"/>
        <c:noMultiLvlLbl val="0"/>
      </c:catAx>
      <c:valAx>
        <c:axId val="322200672"/>
        <c:scaling>
          <c:orientation val="minMax"/>
        </c:scaling>
        <c:delete val="1"/>
        <c:axPos val="l"/>
        <c:numFmt formatCode="#\ ##0.0" sourceLinked="1"/>
        <c:majorTickMark val="none"/>
        <c:minorTickMark val="none"/>
        <c:tickLblPos val="nextTo"/>
        <c:crossAx val="3221936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KOOND!$B$21</c:f>
              <c:strCache>
                <c:ptCount val="1"/>
                <c:pt idx="0">
                  <c:v>Soojusenergia tarbimine muuseumis (kWh)</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KOOND!$C$20:$I$20</c:f>
              <c:numCache>
                <c:formatCode>General</c:formatCode>
                <c:ptCount val="7"/>
                <c:pt idx="0">
                  <c:v>2022</c:v>
                </c:pt>
                <c:pt idx="1">
                  <c:v>2023</c:v>
                </c:pt>
                <c:pt idx="2">
                  <c:v>2024</c:v>
                </c:pt>
                <c:pt idx="3">
                  <c:v>2025</c:v>
                </c:pt>
                <c:pt idx="4">
                  <c:v>2026</c:v>
                </c:pt>
                <c:pt idx="5">
                  <c:v>2027</c:v>
                </c:pt>
                <c:pt idx="6">
                  <c:v>2028</c:v>
                </c:pt>
              </c:numCache>
            </c:numRef>
          </c:cat>
          <c:val>
            <c:numRef>
              <c:f>KOOND!$C$21:$I$21</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E32-4922-BA8B-C09A9CCDADE3}"/>
            </c:ext>
          </c:extLst>
        </c:ser>
        <c:dLbls>
          <c:dLblPos val="t"/>
          <c:showLegendKey val="0"/>
          <c:showVal val="1"/>
          <c:showCatName val="0"/>
          <c:showSerName val="0"/>
          <c:showPercent val="0"/>
          <c:showBubbleSize val="0"/>
        </c:dLbls>
        <c:marker val="1"/>
        <c:smooth val="0"/>
        <c:axId val="309256784"/>
        <c:axId val="309262192"/>
      </c:lineChart>
      <c:catAx>
        <c:axId val="309256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09262192"/>
        <c:crosses val="autoZero"/>
        <c:auto val="1"/>
        <c:lblAlgn val="ctr"/>
        <c:lblOffset val="100"/>
        <c:noMultiLvlLbl val="0"/>
      </c:catAx>
      <c:valAx>
        <c:axId val="309262192"/>
        <c:scaling>
          <c:orientation val="minMax"/>
        </c:scaling>
        <c:delete val="1"/>
        <c:axPos val="l"/>
        <c:numFmt formatCode="#\ ##0.0" sourceLinked="1"/>
        <c:majorTickMark val="none"/>
        <c:minorTickMark val="none"/>
        <c:tickLblPos val="nextTo"/>
        <c:crossAx val="3092567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KOOND!$B$22</c:f>
              <c:strCache>
                <c:ptCount val="1"/>
                <c:pt idx="0">
                  <c:v>Soojusenergia tarbimine muuseumi ruutmeetri kohta (kWh/m²)</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KOOND!$C$20:$I$20</c:f>
              <c:numCache>
                <c:formatCode>General</c:formatCode>
                <c:ptCount val="7"/>
                <c:pt idx="0">
                  <c:v>2022</c:v>
                </c:pt>
                <c:pt idx="1">
                  <c:v>2023</c:v>
                </c:pt>
                <c:pt idx="2">
                  <c:v>2024</c:v>
                </c:pt>
                <c:pt idx="3">
                  <c:v>2025</c:v>
                </c:pt>
                <c:pt idx="4">
                  <c:v>2026</c:v>
                </c:pt>
                <c:pt idx="5">
                  <c:v>2027</c:v>
                </c:pt>
                <c:pt idx="6">
                  <c:v>2028</c:v>
                </c:pt>
              </c:numCache>
            </c:numRef>
          </c:cat>
          <c:val>
            <c:numRef>
              <c:f>KOOND!$C$22:$I$22</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2E6-43DA-9F03-742632A6E3AC}"/>
            </c:ext>
          </c:extLst>
        </c:ser>
        <c:dLbls>
          <c:showLegendKey val="0"/>
          <c:showVal val="0"/>
          <c:showCatName val="0"/>
          <c:showSerName val="0"/>
          <c:showPercent val="0"/>
          <c:showBubbleSize val="0"/>
        </c:dLbls>
        <c:marker val="1"/>
        <c:smooth val="0"/>
        <c:axId val="322214400"/>
        <c:axId val="322203584"/>
      </c:lineChart>
      <c:catAx>
        <c:axId val="322214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22203584"/>
        <c:crosses val="autoZero"/>
        <c:auto val="1"/>
        <c:lblAlgn val="ctr"/>
        <c:lblOffset val="100"/>
        <c:noMultiLvlLbl val="0"/>
      </c:catAx>
      <c:valAx>
        <c:axId val="322203584"/>
        <c:scaling>
          <c:orientation val="minMax"/>
        </c:scaling>
        <c:delete val="1"/>
        <c:axPos val="l"/>
        <c:numFmt formatCode="#\ ##0.0" sourceLinked="1"/>
        <c:majorTickMark val="none"/>
        <c:minorTickMark val="none"/>
        <c:tickLblPos val="nextTo"/>
        <c:crossAx val="3222144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KOOND!$B$29</c:f>
              <c:strCache>
                <c:ptCount val="1"/>
                <c:pt idx="0">
                  <c:v>Veetarbimine muuseumis (m³)</c:v>
                </c:pt>
              </c:strCache>
            </c:strRef>
          </c:tx>
          <c:spPr>
            <a:ln w="22225" cap="rnd">
              <a:solidFill>
                <a:srgbClr val="00B0F0"/>
              </a:solidFill>
              <a:round/>
            </a:ln>
            <a:effectLst/>
          </c:spPr>
          <c:marker>
            <c:symbol val="diamond"/>
            <c:size val="6"/>
            <c:spPr>
              <a:solidFill>
                <a:srgbClr val="00B0F0"/>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KOOND!$C$28:$I$28</c:f>
              <c:numCache>
                <c:formatCode>General</c:formatCode>
                <c:ptCount val="7"/>
                <c:pt idx="0">
                  <c:v>2022</c:v>
                </c:pt>
                <c:pt idx="1">
                  <c:v>2023</c:v>
                </c:pt>
                <c:pt idx="2">
                  <c:v>2024</c:v>
                </c:pt>
                <c:pt idx="3">
                  <c:v>2025</c:v>
                </c:pt>
                <c:pt idx="4">
                  <c:v>2026</c:v>
                </c:pt>
                <c:pt idx="5">
                  <c:v>2027</c:v>
                </c:pt>
                <c:pt idx="6">
                  <c:v>2028</c:v>
                </c:pt>
              </c:numCache>
            </c:numRef>
          </c:cat>
          <c:val>
            <c:numRef>
              <c:f>KOOND!$C$29:$I$29</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4E9-45AF-93B7-ECF45AD78B74}"/>
            </c:ext>
          </c:extLst>
        </c:ser>
        <c:dLbls>
          <c:dLblPos val="t"/>
          <c:showLegendKey val="0"/>
          <c:showVal val="1"/>
          <c:showCatName val="0"/>
          <c:showSerName val="0"/>
          <c:showPercent val="0"/>
          <c:showBubbleSize val="0"/>
        </c:dLbls>
        <c:marker val="1"/>
        <c:smooth val="0"/>
        <c:axId val="383965584"/>
        <c:axId val="383949360"/>
      </c:lineChart>
      <c:catAx>
        <c:axId val="383965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83949360"/>
        <c:crosses val="autoZero"/>
        <c:auto val="1"/>
        <c:lblAlgn val="ctr"/>
        <c:lblOffset val="100"/>
        <c:noMultiLvlLbl val="0"/>
      </c:catAx>
      <c:valAx>
        <c:axId val="383949360"/>
        <c:scaling>
          <c:orientation val="minMax"/>
        </c:scaling>
        <c:delete val="1"/>
        <c:axPos val="l"/>
        <c:numFmt formatCode="#\ ##0.0" sourceLinked="1"/>
        <c:majorTickMark val="none"/>
        <c:minorTickMark val="none"/>
        <c:tickLblPos val="nextTo"/>
        <c:crossAx val="3839655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KOOND!$B$30</c:f>
              <c:strCache>
                <c:ptCount val="1"/>
                <c:pt idx="0">
                  <c:v>Veetarbimine külastaja kohta (m³/in)</c:v>
                </c:pt>
              </c:strCache>
            </c:strRef>
          </c:tx>
          <c:spPr>
            <a:ln w="22225" cap="rnd">
              <a:solidFill>
                <a:srgbClr val="00B0F0"/>
              </a:solidFill>
              <a:round/>
            </a:ln>
            <a:effectLst/>
          </c:spPr>
          <c:marker>
            <c:symbol val="diamond"/>
            <c:size val="6"/>
            <c:spPr>
              <a:solidFill>
                <a:srgbClr val="00B0F0"/>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KOOND!$C$28:$I$28</c:f>
              <c:numCache>
                <c:formatCode>General</c:formatCode>
                <c:ptCount val="7"/>
                <c:pt idx="0">
                  <c:v>2022</c:v>
                </c:pt>
                <c:pt idx="1">
                  <c:v>2023</c:v>
                </c:pt>
                <c:pt idx="2">
                  <c:v>2024</c:v>
                </c:pt>
                <c:pt idx="3">
                  <c:v>2025</c:v>
                </c:pt>
                <c:pt idx="4">
                  <c:v>2026</c:v>
                </c:pt>
                <c:pt idx="5">
                  <c:v>2027</c:v>
                </c:pt>
                <c:pt idx="6">
                  <c:v>2028</c:v>
                </c:pt>
              </c:numCache>
            </c:numRef>
          </c:cat>
          <c:val>
            <c:numRef>
              <c:f>KOOND!$C$30:$I$30</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AED-4500-840B-C4818B68CBF6}"/>
            </c:ext>
          </c:extLst>
        </c:ser>
        <c:dLbls>
          <c:dLblPos val="t"/>
          <c:showLegendKey val="0"/>
          <c:showVal val="1"/>
          <c:showCatName val="0"/>
          <c:showSerName val="0"/>
          <c:showPercent val="0"/>
          <c:showBubbleSize val="0"/>
        </c:dLbls>
        <c:marker val="1"/>
        <c:smooth val="0"/>
        <c:axId val="215746720"/>
        <c:axId val="215754624"/>
      </c:lineChart>
      <c:catAx>
        <c:axId val="21574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215754624"/>
        <c:crosses val="autoZero"/>
        <c:auto val="1"/>
        <c:lblAlgn val="ctr"/>
        <c:lblOffset val="100"/>
        <c:noMultiLvlLbl val="0"/>
      </c:catAx>
      <c:valAx>
        <c:axId val="215754624"/>
        <c:scaling>
          <c:orientation val="minMax"/>
        </c:scaling>
        <c:delete val="1"/>
        <c:axPos val="l"/>
        <c:numFmt formatCode="#\ ##0.0" sourceLinked="1"/>
        <c:majorTickMark val="none"/>
        <c:minorTickMark val="none"/>
        <c:tickLblPos val="nextTo"/>
        <c:crossAx val="21574672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KOOND!$B$40</c:f>
              <c:strCache>
                <c:ptCount val="1"/>
                <c:pt idx="0">
                  <c:v>Ostetud kontoripaber (kg)</c:v>
                </c:pt>
              </c:strCache>
            </c:strRef>
          </c:tx>
          <c:spPr>
            <a:ln w="22225" cap="rnd">
              <a:solidFill>
                <a:schemeClr val="accent6"/>
              </a:solidFill>
              <a:round/>
            </a:ln>
            <a:effectLst/>
          </c:spPr>
          <c:marker>
            <c:symbol val="diamond"/>
            <c:size val="6"/>
            <c:spPr>
              <a:solidFill>
                <a:schemeClr val="accent6"/>
              </a:solidFill>
              <a:ln w="9525">
                <a:solidFill>
                  <a:schemeClr val="accent6"/>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KOOND!$C$36:$I$36</c:f>
              <c:numCache>
                <c:formatCode>General</c:formatCode>
                <c:ptCount val="7"/>
                <c:pt idx="0">
                  <c:v>2022</c:v>
                </c:pt>
                <c:pt idx="1">
                  <c:v>2023</c:v>
                </c:pt>
                <c:pt idx="2">
                  <c:v>2024</c:v>
                </c:pt>
                <c:pt idx="3">
                  <c:v>2025</c:v>
                </c:pt>
                <c:pt idx="4">
                  <c:v>2026</c:v>
                </c:pt>
                <c:pt idx="5">
                  <c:v>2027</c:v>
                </c:pt>
                <c:pt idx="6">
                  <c:v>2028</c:v>
                </c:pt>
              </c:numCache>
            </c:numRef>
          </c:cat>
          <c:val>
            <c:numRef>
              <c:f>KOOND!$C$40:$I$40</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32C-45F5-B9EE-F8726CD0238D}"/>
            </c:ext>
          </c:extLst>
        </c:ser>
        <c:dLbls>
          <c:dLblPos val="t"/>
          <c:showLegendKey val="0"/>
          <c:showVal val="1"/>
          <c:showCatName val="0"/>
          <c:showSerName val="0"/>
          <c:showPercent val="0"/>
          <c:showBubbleSize val="0"/>
        </c:dLbls>
        <c:marker val="1"/>
        <c:smooth val="0"/>
        <c:axId val="147877696"/>
        <c:axId val="147875200"/>
      </c:lineChart>
      <c:catAx>
        <c:axId val="1478776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47875200"/>
        <c:crosses val="autoZero"/>
        <c:auto val="1"/>
        <c:lblAlgn val="ctr"/>
        <c:lblOffset val="100"/>
        <c:noMultiLvlLbl val="0"/>
      </c:catAx>
      <c:valAx>
        <c:axId val="147875200"/>
        <c:scaling>
          <c:orientation val="minMax"/>
        </c:scaling>
        <c:delete val="1"/>
        <c:axPos val="l"/>
        <c:numFmt formatCode="#\ ##0.0" sourceLinked="1"/>
        <c:majorTickMark val="none"/>
        <c:minorTickMark val="none"/>
        <c:tickLblPos val="nextTo"/>
        <c:crossAx val="14787769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KOOND!$B$39</c:f>
              <c:strCache>
                <c:ptCount val="1"/>
                <c:pt idx="0">
                  <c:v>Kontoripaberi lehti (A4) töötaja kohta (lehti/in)</c:v>
                </c:pt>
              </c:strCache>
            </c:strRef>
          </c:tx>
          <c:spPr>
            <a:ln w="22225" cap="rnd">
              <a:solidFill>
                <a:schemeClr val="accent6"/>
              </a:solidFill>
              <a:round/>
            </a:ln>
            <a:effectLst/>
          </c:spPr>
          <c:marker>
            <c:symbol val="diamond"/>
            <c:size val="6"/>
            <c:spPr>
              <a:solidFill>
                <a:schemeClr val="accent6"/>
              </a:solidFill>
              <a:ln w="9525">
                <a:solidFill>
                  <a:schemeClr val="accent6"/>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KOOND!$C$36:$I$36</c:f>
              <c:numCache>
                <c:formatCode>General</c:formatCode>
                <c:ptCount val="7"/>
                <c:pt idx="0">
                  <c:v>2022</c:v>
                </c:pt>
                <c:pt idx="1">
                  <c:v>2023</c:v>
                </c:pt>
                <c:pt idx="2">
                  <c:v>2024</c:v>
                </c:pt>
                <c:pt idx="3">
                  <c:v>2025</c:v>
                </c:pt>
                <c:pt idx="4">
                  <c:v>2026</c:v>
                </c:pt>
                <c:pt idx="5">
                  <c:v>2027</c:v>
                </c:pt>
                <c:pt idx="6">
                  <c:v>2028</c:v>
                </c:pt>
              </c:numCache>
            </c:numRef>
          </c:cat>
          <c:val>
            <c:numRef>
              <c:f>KOOND!$C$39:$I$39</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5C6-4660-A039-8C138A01D77E}"/>
            </c:ext>
          </c:extLst>
        </c:ser>
        <c:dLbls>
          <c:dLblPos val="t"/>
          <c:showLegendKey val="0"/>
          <c:showVal val="1"/>
          <c:showCatName val="0"/>
          <c:showSerName val="0"/>
          <c:showPercent val="0"/>
          <c:showBubbleSize val="0"/>
        </c:dLbls>
        <c:marker val="1"/>
        <c:smooth val="0"/>
        <c:axId val="455369216"/>
        <c:axId val="455353408"/>
      </c:lineChart>
      <c:catAx>
        <c:axId val="455369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455353408"/>
        <c:crosses val="autoZero"/>
        <c:auto val="1"/>
        <c:lblAlgn val="ctr"/>
        <c:lblOffset val="100"/>
        <c:noMultiLvlLbl val="0"/>
      </c:catAx>
      <c:valAx>
        <c:axId val="455353408"/>
        <c:scaling>
          <c:orientation val="minMax"/>
        </c:scaling>
        <c:delete val="1"/>
        <c:axPos val="l"/>
        <c:numFmt formatCode="#\ ##0.0" sourceLinked="1"/>
        <c:majorTickMark val="none"/>
        <c:minorTickMark val="none"/>
        <c:tickLblPos val="nextTo"/>
        <c:crossAx val="45536921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chemeClr val="tx1">
                    <a:lumMod val="65000"/>
                    <a:lumOff val="35000"/>
                  </a:schemeClr>
                </a:solidFill>
                <a:latin typeface="+mn-lt"/>
                <a:ea typeface="+mn-ea"/>
                <a:cs typeface="+mn-cs"/>
              </a:defRPr>
            </a:pPr>
            <a:r>
              <a:rPr lang="en-US" sz="1000" b="1" i="0" cap="all" spc="100" baseline="0">
                <a:effectLst/>
              </a:rPr>
              <a:t>Ol</a:t>
            </a:r>
            <a:r>
              <a:rPr lang="et-EE" sz="1000" b="1" i="0" cap="all" spc="100" baseline="0">
                <a:effectLst/>
              </a:rPr>
              <a:t>mejäätmete teke (kg) ja liigiti kogutud jäätmete osakaal</a:t>
            </a:r>
            <a:endParaRPr lang="en-GB" sz="1000" spc="100" baseline="0">
              <a:effectLst/>
            </a:endParaRPr>
          </a:p>
        </c:rich>
      </c:tx>
      <c:overlay val="0"/>
      <c:spPr>
        <a:noFill/>
        <a:ln>
          <a:noFill/>
        </a:ln>
        <a:effectLst/>
      </c:spPr>
      <c:txPr>
        <a:bodyPr rot="0" spcFirstLastPara="1" vertOverflow="ellipsis" vert="horz" wrap="square" anchor="ctr" anchorCtr="1"/>
        <a:lstStyle/>
        <a:p>
          <a:pPr>
            <a:defRPr sz="1000" b="1" i="0" u="none" strike="noStrike" kern="1200" spc="10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clustered"/>
        <c:varyColors val="0"/>
        <c:ser>
          <c:idx val="0"/>
          <c:order val="0"/>
          <c:tx>
            <c:strRef>
              <c:f>KOOND!$B$53</c:f>
              <c:strCache>
                <c:ptCount val="1"/>
                <c:pt idx="0">
                  <c:v>Olmejäätmete teke kokku (kg)</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KOOND!$C$46:$I$46</c:f>
              <c:numCache>
                <c:formatCode>General</c:formatCode>
                <c:ptCount val="7"/>
                <c:pt idx="0">
                  <c:v>2022</c:v>
                </c:pt>
                <c:pt idx="1">
                  <c:v>2023</c:v>
                </c:pt>
                <c:pt idx="2">
                  <c:v>2024</c:v>
                </c:pt>
                <c:pt idx="3">
                  <c:v>2025</c:v>
                </c:pt>
                <c:pt idx="4">
                  <c:v>2026</c:v>
                </c:pt>
                <c:pt idx="5">
                  <c:v>2027</c:v>
                </c:pt>
                <c:pt idx="6">
                  <c:v>2028</c:v>
                </c:pt>
              </c:numCache>
            </c:numRef>
          </c:cat>
          <c:val>
            <c:numRef>
              <c:f>KOOND!$C$53:$I$53</c:f>
              <c:numCache>
                <c:formatCode>#\ ##0.0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396-48FF-9FD5-F905E53C482B}"/>
            </c:ext>
          </c:extLst>
        </c:ser>
        <c:dLbls>
          <c:showLegendKey val="0"/>
          <c:showVal val="1"/>
          <c:showCatName val="0"/>
          <c:showSerName val="0"/>
          <c:showPercent val="0"/>
          <c:showBubbleSize val="0"/>
        </c:dLbls>
        <c:gapWidth val="79"/>
        <c:overlap val="100"/>
        <c:axId val="1338821872"/>
        <c:axId val="1338818960"/>
      </c:barChart>
      <c:lineChart>
        <c:grouping val="standard"/>
        <c:varyColors val="0"/>
        <c:ser>
          <c:idx val="1"/>
          <c:order val="1"/>
          <c:tx>
            <c:strRef>
              <c:f>KOOND!$B$56</c:f>
              <c:strCache>
                <c:ptCount val="1"/>
                <c:pt idx="0">
                  <c:v>Liigiti kogutud jäätmete osakaal (%)</c:v>
                </c:pt>
              </c:strCache>
            </c:strRef>
          </c:tx>
          <c:spPr>
            <a:ln w="34925"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tx>
                <c:strRef>
                  <c:f>KOOND!$C$56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{C6427505-C2EF-4F13-ACF9-769EBE80CCF1}</c15:txfldGUID>
                      <c15:f>KOOND!$C$56</c15:f>
                      <c15:dlblFieldTableCache>
                        <c:ptCount val="1"/>
                        <c:pt idx="0">
                          <c:v>#DIV/0!</c:v>
                        </c:pt>
                      </c15:dlblFieldTableCache>
                    </c15:dlblFTEntry>
                  </c15:dlblFieldTable>
                  <c15:showDataLabelsRange val="0"/>
                </c:ext>
                <c:ext xmlns:c16="http://schemas.microsoft.com/office/drawing/2014/chart" uri="{C3380CC4-5D6E-409C-BE32-E72D297353CC}">
                  <c16:uniqueId val="{00000002-D396-48FF-9FD5-F905E53C482B}"/>
                </c:ext>
              </c:extLst>
            </c:dLbl>
            <c:dLbl>
              <c:idx val="1"/>
              <c:tx>
                <c:strRef>
                  <c:f>KOOND!$D$56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{B513F50A-5107-4F75-A066-108EC76E4C35}</c15:txfldGUID>
                      <c15:f>KOOND!$D$56</c15:f>
                      <c15:dlblFieldTableCache>
                        <c:ptCount val="1"/>
                        <c:pt idx="0">
                          <c:v>#DIV/0!</c:v>
                        </c:pt>
                      </c15:dlblFieldTableCache>
                    </c15:dlblFTEntry>
                  </c15:dlblFieldTable>
                  <c15:showDataLabelsRange val="0"/>
                </c:ext>
                <c:ext xmlns:c16="http://schemas.microsoft.com/office/drawing/2014/chart" uri="{C3380CC4-5D6E-409C-BE32-E72D297353CC}">
                  <c16:uniqueId val="{00000003-D396-48FF-9FD5-F905E53C482B}"/>
                </c:ext>
              </c:extLst>
            </c:dLbl>
            <c:dLbl>
              <c:idx val="2"/>
              <c:tx>
                <c:strRef>
                  <c:f>KOOND!$E$56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{5826A826-E19A-473E-B539-6C63C0254C7E}</c15:txfldGUID>
                      <c15:f>KOOND!$E$56</c15:f>
                      <c15:dlblFieldTableCache>
                        <c:ptCount val="1"/>
                        <c:pt idx="0">
                          <c:v>#DIV/0!</c:v>
                        </c:pt>
                      </c15:dlblFieldTableCache>
                    </c15:dlblFTEntry>
                  </c15:dlblFieldTable>
                  <c15:showDataLabelsRange val="0"/>
                </c:ext>
                <c:ext xmlns:c16="http://schemas.microsoft.com/office/drawing/2014/chart" uri="{C3380CC4-5D6E-409C-BE32-E72D297353CC}">
                  <c16:uniqueId val="{00000004-D396-48FF-9FD5-F905E53C482B}"/>
                </c:ext>
              </c:extLst>
            </c:dLbl>
            <c:dLbl>
              <c:idx val="3"/>
              <c:tx>
                <c:strRef>
                  <c:f>KOOND!$F$56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{5FAC157C-A09A-4D3E-AE3E-307EDCF7B313}</c15:txfldGUID>
                      <c15:f>KOOND!$F$56</c15:f>
                      <c15:dlblFieldTableCache>
                        <c:ptCount val="1"/>
                        <c:pt idx="0">
                          <c:v>#DIV/0!</c:v>
                        </c:pt>
                      </c15:dlblFieldTableCache>
                    </c15:dlblFTEntry>
                  </c15:dlblFieldTable>
                  <c15:showDataLabelsRange val="0"/>
                </c:ext>
                <c:ext xmlns:c16="http://schemas.microsoft.com/office/drawing/2014/chart" uri="{C3380CC4-5D6E-409C-BE32-E72D297353CC}">
                  <c16:uniqueId val="{00000005-D396-48FF-9FD5-F905E53C482B}"/>
                </c:ext>
              </c:extLst>
            </c:dLbl>
            <c:dLbl>
              <c:idx val="4"/>
              <c:tx>
                <c:strRef>
                  <c:f>KOOND!$G$56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{F0BE81E7-6ED9-4494-A9BF-17FD99A991B0}</c15:txfldGUID>
                      <c15:f>KOOND!$G$56</c15:f>
                      <c15:dlblFieldTableCache>
                        <c:ptCount val="1"/>
                        <c:pt idx="0">
                          <c:v>#DIV/0!</c:v>
                        </c:pt>
                      </c15:dlblFieldTableCache>
                    </c15:dlblFTEntry>
                  </c15:dlblFieldTable>
                  <c15:showDataLabelsRange val="0"/>
                </c:ext>
                <c:ext xmlns:c16="http://schemas.microsoft.com/office/drawing/2014/chart" uri="{C3380CC4-5D6E-409C-BE32-E72D297353CC}">
                  <c16:uniqueId val="{00000006-D396-48FF-9FD5-F905E53C482B}"/>
                </c:ext>
              </c:extLst>
            </c:dLbl>
            <c:dLbl>
              <c:idx val="5"/>
              <c:tx>
                <c:strRef>
                  <c:f>KOOND!$H$56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{D41FA587-D3EB-4396-8205-69F2E9E1AD87}</c15:txfldGUID>
                      <c15:f>KOOND!$H$56</c15:f>
                      <c15:dlblFieldTableCache>
                        <c:ptCount val="1"/>
                        <c:pt idx="0">
                          <c:v>#DIV/0!</c:v>
                        </c:pt>
                      </c15:dlblFieldTableCache>
                    </c15:dlblFTEntry>
                  </c15:dlblFieldTable>
                  <c15:showDataLabelsRange val="0"/>
                </c:ext>
                <c:ext xmlns:c16="http://schemas.microsoft.com/office/drawing/2014/chart" uri="{C3380CC4-5D6E-409C-BE32-E72D297353CC}">
                  <c16:uniqueId val="{00000007-D396-48FF-9FD5-F905E53C482B}"/>
                </c:ext>
              </c:extLst>
            </c:dLbl>
            <c:dLbl>
              <c:idx val="6"/>
              <c:tx>
                <c:strRef>
                  <c:f>KOOND!$I$56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{C7AB7EFE-F4EE-43FB-947E-D257974D8D28}</c15:txfldGUID>
                      <c15:f>KOOND!$I$56</c15:f>
                      <c15:dlblFieldTableCache>
                        <c:ptCount val="1"/>
                        <c:pt idx="0">
                          <c:v>#DIV/0!</c:v>
                        </c:pt>
                      </c15:dlblFieldTableCache>
                    </c15:dlblFTEntry>
                  </c15:dlblFieldTable>
                  <c15:showDataLabelsRange val="0"/>
                </c:ext>
                <c:ext xmlns:c16="http://schemas.microsoft.com/office/drawing/2014/chart" uri="{C3380CC4-5D6E-409C-BE32-E72D297353CC}">
                  <c16:uniqueId val="{00000008-D396-48FF-9FD5-F905E53C48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KOOND!$C$51:$I$51</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D396-48FF-9FD5-F905E53C482B}"/>
            </c:ext>
          </c:extLst>
        </c:ser>
        <c:dLbls>
          <c:showLegendKey val="0"/>
          <c:showVal val="1"/>
          <c:showCatName val="0"/>
          <c:showSerName val="0"/>
          <c:showPercent val="0"/>
          <c:showBubbleSize val="0"/>
        </c:dLbls>
        <c:marker val="1"/>
        <c:smooth val="0"/>
        <c:axId val="1338821872"/>
        <c:axId val="1338818960"/>
      </c:lineChart>
      <c:catAx>
        <c:axId val="1338821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38818960"/>
        <c:crosses val="autoZero"/>
        <c:auto val="1"/>
        <c:lblAlgn val="ctr"/>
        <c:lblOffset val="100"/>
        <c:noMultiLvlLbl val="0"/>
      </c:catAx>
      <c:valAx>
        <c:axId val="1338818960"/>
        <c:scaling>
          <c:orientation val="minMax"/>
        </c:scaling>
        <c:delete val="0"/>
        <c:axPos val="l"/>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3882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'KHG JALAJÄLG KOOND'!$B$6</c:f>
          <c:strCache>
            <c:ptCount val="1"/>
            <c:pt idx="0">
              <c:v>KHG JALAJÄLG MÕJUALADE KAUPA (CO₂ ekv t/a)</c:v>
            </c:pt>
          </c:strCache>
        </c:strRef>
      </c:tx>
      <c:overlay val="0"/>
      <c:spPr>
        <a:noFill/>
        <a:ln>
          <a:noFill/>
        </a:ln>
        <a:effectLst/>
      </c:spPr>
      <c:txPr>
        <a:bodyPr rot="0" spcFirstLastPara="1" vertOverflow="ellipsis" vert="horz" wrap="square" anchor="ctr" anchorCtr="1"/>
        <a:lstStyle/>
        <a:p>
          <a:pPr>
            <a:defRPr lang="en-US" sz="1050" b="1" i="0" u="none" strike="noStrike" kern="1200" cap="all" spc="120" normalizeH="0" baseline="0">
              <a:solidFill>
                <a:sysClr val="windowText" lastClr="000000">
                  <a:lumMod val="65000"/>
                  <a:lumOff val="35000"/>
                </a:sysClr>
              </a:solidFill>
              <a:latin typeface="+mn-lt"/>
              <a:ea typeface="+mn-ea"/>
              <a:cs typeface="+mn-cs"/>
            </a:defRPr>
          </a:pPr>
          <a:endParaRPr lang="et-EE"/>
        </a:p>
      </c:txPr>
    </c:title>
    <c:autoTitleDeleted val="0"/>
    <c:plotArea>
      <c:layout/>
      <c:barChart>
        <c:barDir val="col"/>
        <c:grouping val="stacked"/>
        <c:varyColors val="0"/>
        <c:ser>
          <c:idx val="2"/>
          <c:order val="0"/>
          <c:tx>
            <c:strRef>
              <c:f>'KHG JALAJÄLG KOOND'!$B$33</c:f>
              <c:strCache>
                <c:ptCount val="1"/>
                <c:pt idx="0">
                  <c:v>Mõjuala 3 ‒ muu kaudne KHG heide </c:v>
                </c:pt>
              </c:strCache>
            </c:strRef>
          </c:tx>
          <c:spPr>
            <a:solidFill>
              <a:srgbClr val="559E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KOOND'!$C$30:$I$30</c:f>
              <c:numCache>
                <c:formatCode>General</c:formatCode>
                <c:ptCount val="7"/>
                <c:pt idx="0">
                  <c:v>2022</c:v>
                </c:pt>
                <c:pt idx="1">
                  <c:v>2023</c:v>
                </c:pt>
                <c:pt idx="2">
                  <c:v>2024</c:v>
                </c:pt>
                <c:pt idx="3">
                  <c:v>2025</c:v>
                </c:pt>
                <c:pt idx="4">
                  <c:v>2026</c:v>
                </c:pt>
                <c:pt idx="5">
                  <c:v>2027</c:v>
                </c:pt>
                <c:pt idx="6">
                  <c:v>2028</c:v>
                </c:pt>
              </c:numCache>
            </c:numRef>
          </c:cat>
          <c:val>
            <c:numRef>
              <c:f>'KHG JALAJÄLG KOOND'!$C$33:$I$33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E55-4482-9EA6-96A3233C307C}"/>
            </c:ext>
          </c:extLst>
        </c:ser>
        <c:ser>
          <c:idx val="1"/>
          <c:order val="1"/>
          <c:tx>
            <c:strRef>
              <c:f>'KHG JALAJÄLG KOOND'!$B$32</c:f>
              <c:strCache>
                <c:ptCount val="1"/>
                <c:pt idx="0">
                  <c:v>Mõjuala 2 ‒ energiatarbimisest tulenev kaudne KHG heide</c:v>
                </c:pt>
              </c:strCache>
            </c:strRef>
          </c:tx>
          <c:spPr>
            <a:solidFill>
              <a:srgbClr val="98CA32"/>
            </a:solidFill>
            <a:ln>
              <a:solidFill>
                <a:srgbClr val="A5FF4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KOOND'!$C$30:$I$30</c:f>
              <c:numCache>
                <c:formatCode>General</c:formatCode>
                <c:ptCount val="7"/>
                <c:pt idx="0">
                  <c:v>2022</c:v>
                </c:pt>
                <c:pt idx="1">
                  <c:v>2023</c:v>
                </c:pt>
                <c:pt idx="2">
                  <c:v>2024</c:v>
                </c:pt>
                <c:pt idx="3">
                  <c:v>2025</c:v>
                </c:pt>
                <c:pt idx="4">
                  <c:v>2026</c:v>
                </c:pt>
                <c:pt idx="5">
                  <c:v>2027</c:v>
                </c:pt>
                <c:pt idx="6">
                  <c:v>2028</c:v>
                </c:pt>
              </c:numCache>
            </c:numRef>
          </c:cat>
          <c:val>
            <c:numRef>
              <c:f>'KHG JALAJÄLG KOOND'!$C$32:$I$32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E55-4482-9EA6-96A3233C307C}"/>
            </c:ext>
          </c:extLst>
        </c:ser>
        <c:ser>
          <c:idx val="0"/>
          <c:order val="2"/>
          <c:tx>
            <c:strRef>
              <c:f>'KHG JALAJÄLG KOOND'!$B$31</c:f>
              <c:strCache>
                <c:ptCount val="1"/>
                <c:pt idx="0">
                  <c:v>Mõjuala 1 ‒ organisatsiooni omatud/kontrollitud heiteallikatest tulenev otsene KHG heide</c:v>
                </c:pt>
              </c:strCache>
            </c:strRef>
          </c:tx>
          <c:spPr>
            <a:solidFill>
              <a:srgbClr val="E4F13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KOOND'!$C$30:$I$30</c:f>
              <c:numCache>
                <c:formatCode>General</c:formatCode>
                <c:ptCount val="7"/>
                <c:pt idx="0">
                  <c:v>2022</c:v>
                </c:pt>
                <c:pt idx="1">
                  <c:v>2023</c:v>
                </c:pt>
                <c:pt idx="2">
                  <c:v>2024</c:v>
                </c:pt>
                <c:pt idx="3">
                  <c:v>2025</c:v>
                </c:pt>
                <c:pt idx="4">
                  <c:v>2026</c:v>
                </c:pt>
                <c:pt idx="5">
                  <c:v>2027</c:v>
                </c:pt>
                <c:pt idx="6">
                  <c:v>2028</c:v>
                </c:pt>
              </c:numCache>
            </c:numRef>
          </c:cat>
          <c:val>
            <c:numRef>
              <c:f>'KHG JALAJÄLG KOOND'!$C$31:$I$31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5E55-4482-9EA6-96A3233C307C}"/>
            </c:ext>
          </c:extLst>
        </c:ser>
        <c:dLbls>
          <c:dLblPos val="ctr"/>
          <c:showLegendKey val="0"/>
          <c:showVal val="1"/>
          <c:showCatName val="0"/>
          <c:showSerName val="0"/>
          <c:showPercent val="0"/>
          <c:showBubbleSize val="0"/>
        </c:dLbls>
        <c:gapWidth val="79"/>
        <c:overlap val="100"/>
        <c:axId val="1343493296"/>
        <c:axId val="1343479984"/>
      </c:barChart>
      <c:catAx>
        <c:axId val="1343493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343479984"/>
        <c:crosses val="autoZero"/>
        <c:auto val="1"/>
        <c:lblAlgn val="ctr"/>
        <c:lblOffset val="100"/>
        <c:noMultiLvlLbl val="0"/>
      </c:catAx>
      <c:valAx>
        <c:axId val="1343479984"/>
        <c:scaling>
          <c:orientation val="minMax"/>
        </c:scaling>
        <c:delete val="0"/>
        <c:axPos val="l"/>
        <c:numFmt formatCode="0.0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4349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_xlchart.v1.0</cx:f>
      </cx:numDim>
    </cx:data>
  </cx:chartData>
  <cx:chart>
    <cx:title pos="t" align="ctr" overlay="0">
      <cx:tx>
        <cx:rich>
          <a:bodyPr spcFirstLastPara="1" vertOverflow="ellipsis" horzOverflow="overflow" wrap="square" lIns="0" tIns="0" rIns="0" bIns="0" anchor="ctr" anchorCtr="1"/>
          <a:lstStyle/>
          <a:p>
            <a:pPr algn="ctr" rtl="0">
              <a:defRPr sz="1050" spc="100" baseline="0">
                <a:latin typeface="+mn-lt"/>
              </a:defRPr>
            </a:pPr>
            <a:r>
              <a:rPr lang="et-EE" sz="1050" b="1" i="0" u="none" strike="noStrike" kern="1200" spc="100" baseline="0" dirty="0">
                <a:solidFill>
                  <a:sysClr val="windowText" lastClr="000000">
                    <a:lumMod val="65000"/>
                    <a:lumOff val="35000"/>
                  </a:sysClr>
                </a:solidFill>
                <a:latin typeface="+mn-lt"/>
                <a:ea typeface="+mn-ea"/>
                <a:cs typeface="+mn-cs"/>
              </a:rPr>
              <a:t>SÜSINIKU</a:t>
            </a:r>
            <a:r>
              <a:rPr lang="et-EE" sz="1050" b="1" i="0" u="none" strike="noStrike" spc="100" baseline="0" dirty="0">
                <a:solidFill>
                  <a:srgbClr val="1F497D"/>
                </a:solidFill>
                <a:latin typeface="+mn-lt"/>
              </a:rPr>
              <a:t> </a:t>
            </a:r>
            <a:r>
              <a:rPr lang="et-EE" sz="1050" b="1" i="0" u="none" strike="noStrike" kern="1200" spc="100" baseline="0" dirty="0">
                <a:solidFill>
                  <a:sysClr val="windowText" lastClr="000000">
                    <a:lumMod val="65000"/>
                    <a:lumOff val="35000"/>
                  </a:sysClr>
                </a:solidFill>
                <a:latin typeface="+mn-lt"/>
                <a:ea typeface="+mn-ea"/>
                <a:cs typeface="+mn-cs"/>
              </a:rPr>
              <a:t>JALAJÄLG</a:t>
            </a:r>
            <a:r>
              <a:rPr lang="et-EE" sz="1050" b="1" i="0" u="none" strike="noStrike" spc="100" baseline="0" dirty="0">
                <a:solidFill>
                  <a:srgbClr val="1F497D"/>
                </a:solidFill>
                <a:latin typeface="+mn-lt"/>
              </a:rPr>
              <a:t> </a:t>
            </a:r>
            <a:r>
              <a:rPr lang="et-EE" sz="1050" b="1" i="0" u="none" strike="noStrike" kern="1200" spc="100" baseline="0" dirty="0">
                <a:solidFill>
                  <a:sysClr val="windowText" lastClr="000000">
                    <a:lumMod val="65000"/>
                    <a:lumOff val="35000"/>
                  </a:sysClr>
                </a:solidFill>
                <a:latin typeface="+mn-lt"/>
                <a:ea typeface="+mn-ea"/>
                <a:cs typeface="+mn-cs"/>
              </a:rPr>
              <a:t>(%)</a:t>
            </a:r>
          </a:p>
        </cx:rich>
      </cx:tx>
    </cx:title>
    <cx:plotArea>
      <cx:plotAreaRegion>
        <cx:series layoutId="sunburst" uniqueId="{177A02C2-F34F-4C81-BD15-F970E0CD2CE2}">
          <cx:dataPt idx="0">
            <cx:spPr>
              <a:solidFill>
                <a:srgbClr val="E4F132"/>
              </a:solidFill>
            </cx:spPr>
          </cx:dataPt>
          <cx:dataPt idx="3">
            <cx:spPr>
              <a:solidFill>
                <a:srgbClr val="98CA32"/>
              </a:solidFill>
            </cx:spPr>
          </cx:dataPt>
          <cx:dataPt idx="7">
            <cx:spPr>
              <a:solidFill>
                <a:srgbClr val="559E54"/>
              </a:solidFill>
            </cx:spPr>
          </cx:dataPt>
          <cx:dataLabels>
            <cx:visibility seriesName="0" categoryName="1" value="1"/>
            <cx:separator>
</cx:separator>
            <cx:dataLabel idx="5">
              <cx:txPr>
                <a:bodyPr spcFirstLastPara="1" vertOverflow="ellipsis" horzOverflow="overflow" wrap="square" lIns="0" tIns="0" rIns="0" bIns="0" anchor="ctr" anchorCtr="1"/>
                <a:lstStyle/>
                <a:p>
                  <a:pPr algn="ctr" rtl="0">
                    <a:defRPr>
                      <a:solidFill>
                        <a:schemeClr val="tx1"/>
                      </a:solidFill>
                    </a:defRPr>
                  </a:pPr>
                  <a:r>
                    <a:rPr lang="et-EE" sz="900" b="0" i="0" u="none" strike="noStrike" baseline="0">
                      <a:solidFill>
                        <a:schemeClr val="tx1"/>
                      </a:solidFill>
                      <a:latin typeface="Calibri" panose="020F0502020204030204"/>
                    </a:rPr>
                    <a:t>Organisatsiooni elektriautod
2,4%</a:t>
                  </a:r>
                </a:p>
              </cx:txPr>
              <cx:visibility seriesName="0" categoryName="1" value="1"/>
              <cx:separator>
</cx:separator>
            </cx:dataLabel>
          </cx:dataLabels>
          <cx:dataId val="0"/>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85">
  <cs:axisTitle>
    <cs:lnRef idx="0"/>
    <cs:fillRef idx="0"/>
    <cs:effectRef idx="0"/>
    <cs:fontRef idx="minor">
      <a:schemeClr val="tx2"/>
    </cs:fontRef>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6.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2</xdr:col>
      <xdr:colOff>260236</xdr:colOff>
      <xdr:row>1</xdr:row>
      <xdr:rowOff>82550</xdr:rowOff>
    </xdr:from>
    <xdr:to>
      <xdr:col>6</xdr:col>
      <xdr:colOff>470544</xdr:colOff>
      <xdr:row>5</xdr:row>
      <xdr:rowOff>44449</xdr:rowOff>
    </xdr:to>
    <xdr:pic>
      <xdr:nvPicPr>
        <xdr:cNvPr id="3" name="Pilt 4">
          <a:extLst>
            <a:ext uri="{FF2B5EF4-FFF2-40B4-BE49-F238E27FC236}">
              <a16:creationId xmlns:a16="http://schemas.microsoft.com/office/drawing/2014/main" id="{6F3F1448-D250-14AA-A95D-4570044B16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386" y="266700"/>
          <a:ext cx="2648708" cy="723899"/>
        </a:xfrm>
        <a:prstGeom prst="rect">
          <a:avLst/>
        </a:prstGeom>
      </xdr:spPr>
    </xdr:pic>
    <xdr:clientData/>
  </xdr:twoCellAnchor>
  <xdr:twoCellAnchor editAs="oneCell">
    <xdr:from>
      <xdr:col>0</xdr:col>
      <xdr:colOff>0</xdr:colOff>
      <xdr:row>0</xdr:row>
      <xdr:rowOff>0</xdr:rowOff>
    </xdr:from>
    <xdr:to>
      <xdr:col>2</xdr:col>
      <xdr:colOff>425450</xdr:colOff>
      <xdr:row>6</xdr:row>
      <xdr:rowOff>82803</xdr:rowOff>
    </xdr:to>
    <xdr:pic>
      <xdr:nvPicPr>
        <xdr:cNvPr id="6" name="Pilt 3">
          <a:extLst>
            <a:ext uri="{FF2B5EF4-FFF2-40B4-BE49-F238E27FC236}">
              <a16:creationId xmlns:a16="http://schemas.microsoft.com/office/drawing/2014/main" id="{8167269B-81F0-F77D-E9AA-BAB7DE9245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206500" cy="1273428"/>
        </a:xfrm>
        <a:prstGeom prst="rect">
          <a:avLst/>
        </a:prstGeom>
      </xdr:spPr>
    </xdr:pic>
    <xdr:clientData/>
  </xdr:twoCellAnchor>
  <xdr:twoCellAnchor editAs="oneCell">
    <xdr:from>
      <xdr:col>11</xdr:col>
      <xdr:colOff>120015</xdr:colOff>
      <xdr:row>1</xdr:row>
      <xdr:rowOff>53340</xdr:rowOff>
    </xdr:from>
    <xdr:to>
      <xdr:col>13</xdr:col>
      <xdr:colOff>0</xdr:colOff>
      <xdr:row>6</xdr:row>
      <xdr:rowOff>83212</xdr:rowOff>
    </xdr:to>
    <xdr:pic>
      <xdr:nvPicPr>
        <xdr:cNvPr id="2" name="Pilt 1">
          <a:extLst>
            <a:ext uri="{FF2B5EF4-FFF2-40B4-BE49-F238E27FC236}">
              <a16:creationId xmlns:a16="http://schemas.microsoft.com/office/drawing/2014/main" id="{A075D9CA-DC56-14A9-DCCC-6B02402A2F8D}"/>
            </a:ext>
          </a:extLst>
        </xdr:cNvPr>
        <xdr:cNvPicPr>
          <a:picLocks noChangeAspect="1"/>
        </xdr:cNvPicPr>
      </xdr:nvPicPr>
      <xdr:blipFill>
        <a:blip xmlns:r="http://schemas.openxmlformats.org/officeDocument/2006/relationships" r:embed="rId3"/>
        <a:stretch>
          <a:fillRect/>
        </a:stretch>
      </xdr:blipFill>
      <xdr:spPr>
        <a:xfrm>
          <a:off x="6473190" y="243840"/>
          <a:ext cx="1099185" cy="1029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264487</xdr:colOff>
      <xdr:row>21</xdr:row>
      <xdr:rowOff>163928</xdr:rowOff>
    </xdr:from>
    <xdr:to>
      <xdr:col>27</xdr:col>
      <xdr:colOff>597187</xdr:colOff>
      <xdr:row>27</xdr:row>
      <xdr:rowOff>26288</xdr:rowOff>
    </xdr:to>
    <xdr:graphicFrame macro="">
      <xdr:nvGraphicFramePr>
        <xdr:cNvPr id="12" name="Diagramm 4">
          <a:extLst>
            <a:ext uri="{FF2B5EF4-FFF2-40B4-BE49-F238E27FC236}">
              <a16:creationId xmlns:a16="http://schemas.microsoft.com/office/drawing/2014/main" id="{A7602BE8-8E5B-4ECF-9E99-73FC0932D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256462</xdr:colOff>
      <xdr:row>26</xdr:row>
      <xdr:rowOff>188031</xdr:rowOff>
    </xdr:from>
    <xdr:to>
      <xdr:col>27</xdr:col>
      <xdr:colOff>589162</xdr:colOff>
      <xdr:row>32</xdr:row>
      <xdr:rowOff>50391</xdr:rowOff>
    </xdr:to>
    <xdr:graphicFrame macro="">
      <xdr:nvGraphicFramePr>
        <xdr:cNvPr id="13" name="Diagramm 5">
          <a:extLst>
            <a:ext uri="{FF2B5EF4-FFF2-40B4-BE49-F238E27FC236}">
              <a16:creationId xmlns:a16="http://schemas.microsoft.com/office/drawing/2014/main" id="{6EEFADA6-53DE-4C8A-BCB8-D632E14EF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254700</xdr:colOff>
      <xdr:row>32</xdr:row>
      <xdr:rowOff>23752</xdr:rowOff>
    </xdr:from>
    <xdr:to>
      <xdr:col>27</xdr:col>
      <xdr:colOff>587400</xdr:colOff>
      <xdr:row>37</xdr:row>
      <xdr:rowOff>76612</xdr:rowOff>
    </xdr:to>
    <xdr:graphicFrame macro="">
      <xdr:nvGraphicFramePr>
        <xdr:cNvPr id="14" name="Diagramm 6">
          <a:extLst>
            <a:ext uri="{FF2B5EF4-FFF2-40B4-BE49-F238E27FC236}">
              <a16:creationId xmlns:a16="http://schemas.microsoft.com/office/drawing/2014/main" id="{FB9660E0-9455-4D3B-AA26-EAD8F7E7C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248437</xdr:colOff>
      <xdr:row>37</xdr:row>
      <xdr:rowOff>54205</xdr:rowOff>
    </xdr:from>
    <xdr:to>
      <xdr:col>27</xdr:col>
      <xdr:colOff>581137</xdr:colOff>
      <xdr:row>42</xdr:row>
      <xdr:rowOff>107065</xdr:rowOff>
    </xdr:to>
    <xdr:graphicFrame macro="">
      <xdr:nvGraphicFramePr>
        <xdr:cNvPr id="15" name="Diagramm 7">
          <a:extLst>
            <a:ext uri="{FF2B5EF4-FFF2-40B4-BE49-F238E27FC236}">
              <a16:creationId xmlns:a16="http://schemas.microsoft.com/office/drawing/2014/main" id="{B415B845-24DA-4944-BEDC-24FB3ACF1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272515</xdr:colOff>
      <xdr:row>42</xdr:row>
      <xdr:rowOff>84656</xdr:rowOff>
    </xdr:from>
    <xdr:to>
      <xdr:col>27</xdr:col>
      <xdr:colOff>605215</xdr:colOff>
      <xdr:row>47</xdr:row>
      <xdr:rowOff>137516</xdr:rowOff>
    </xdr:to>
    <xdr:graphicFrame macro="">
      <xdr:nvGraphicFramePr>
        <xdr:cNvPr id="16" name="Diagramm 8">
          <a:extLst>
            <a:ext uri="{FF2B5EF4-FFF2-40B4-BE49-F238E27FC236}">
              <a16:creationId xmlns:a16="http://schemas.microsoft.com/office/drawing/2014/main" id="{365EA2A0-F775-4FEE-960C-36A89CBFA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272515</xdr:colOff>
      <xdr:row>16</xdr:row>
      <xdr:rowOff>133474</xdr:rowOff>
    </xdr:from>
    <xdr:to>
      <xdr:col>27</xdr:col>
      <xdr:colOff>605215</xdr:colOff>
      <xdr:row>21</xdr:row>
      <xdr:rowOff>186334</xdr:rowOff>
    </xdr:to>
    <xdr:graphicFrame macro="">
      <xdr:nvGraphicFramePr>
        <xdr:cNvPr id="11" name="Diagramm 2">
          <a:extLst>
            <a:ext uri="{FF2B5EF4-FFF2-40B4-BE49-F238E27FC236}">
              <a16:creationId xmlns:a16="http://schemas.microsoft.com/office/drawing/2014/main" id="{CDF05889-369F-4FCF-A24E-BEA7CF8C4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263608</xdr:colOff>
      <xdr:row>11</xdr:row>
      <xdr:rowOff>102648</xdr:rowOff>
    </xdr:from>
    <xdr:to>
      <xdr:col>27</xdr:col>
      <xdr:colOff>596308</xdr:colOff>
      <xdr:row>16</xdr:row>
      <xdr:rowOff>155508</xdr:rowOff>
    </xdr:to>
    <xdr:graphicFrame macro="">
      <xdr:nvGraphicFramePr>
        <xdr:cNvPr id="4" name="Diagramm 9">
          <a:extLst>
            <a:ext uri="{FF2B5EF4-FFF2-40B4-BE49-F238E27FC236}">
              <a16:creationId xmlns:a16="http://schemas.microsoft.com/office/drawing/2014/main" id="{B6F2D842-1E0C-4185-AB7D-3C8D63A56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535095</xdr:colOff>
      <xdr:row>8</xdr:row>
      <xdr:rowOff>140969</xdr:rowOff>
    </xdr:from>
    <xdr:to>
      <xdr:col>28</xdr:col>
      <xdr:colOff>448695</xdr:colOff>
      <xdr:row>12</xdr:row>
      <xdr:rowOff>118019</xdr:rowOff>
    </xdr:to>
    <xdr:graphicFrame macro="">
      <xdr:nvGraphicFramePr>
        <xdr:cNvPr id="3" name="Diagramm 1">
          <a:extLst>
            <a:ext uri="{FF2B5EF4-FFF2-40B4-BE49-F238E27FC236}">
              <a16:creationId xmlns:a16="http://schemas.microsoft.com/office/drawing/2014/main" id="{5D71CD7F-910C-4485-9458-0000A782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535095</xdr:colOff>
      <xdr:row>12</xdr:row>
      <xdr:rowOff>175612</xdr:rowOff>
    </xdr:from>
    <xdr:to>
      <xdr:col>28</xdr:col>
      <xdr:colOff>448695</xdr:colOff>
      <xdr:row>16</xdr:row>
      <xdr:rowOff>162187</xdr:rowOff>
    </xdr:to>
    <xdr:graphicFrame macro="">
      <xdr:nvGraphicFramePr>
        <xdr:cNvPr id="4" name="Diagramm 8">
          <a:extLst>
            <a:ext uri="{FF2B5EF4-FFF2-40B4-BE49-F238E27FC236}">
              <a16:creationId xmlns:a16="http://schemas.microsoft.com/office/drawing/2014/main" id="{052ACD3D-D265-4803-B901-D0CA89D5D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535095</xdr:colOff>
      <xdr:row>17</xdr:row>
      <xdr:rowOff>10230</xdr:rowOff>
    </xdr:from>
    <xdr:to>
      <xdr:col>28</xdr:col>
      <xdr:colOff>448695</xdr:colOff>
      <xdr:row>20</xdr:row>
      <xdr:rowOff>139680</xdr:rowOff>
    </xdr:to>
    <xdr:graphicFrame macro="">
      <xdr:nvGraphicFramePr>
        <xdr:cNvPr id="5" name="Diagramm 9">
          <a:extLst>
            <a:ext uri="{FF2B5EF4-FFF2-40B4-BE49-F238E27FC236}">
              <a16:creationId xmlns:a16="http://schemas.microsoft.com/office/drawing/2014/main" id="{EFA50349-939A-4F9C-B751-020D896F6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535095</xdr:colOff>
      <xdr:row>20</xdr:row>
      <xdr:rowOff>197273</xdr:rowOff>
    </xdr:from>
    <xdr:to>
      <xdr:col>28</xdr:col>
      <xdr:colOff>448695</xdr:colOff>
      <xdr:row>24</xdr:row>
      <xdr:rowOff>117173</xdr:rowOff>
    </xdr:to>
    <xdr:graphicFrame macro="">
      <xdr:nvGraphicFramePr>
        <xdr:cNvPr id="6" name="Diagramm 10">
          <a:extLst>
            <a:ext uri="{FF2B5EF4-FFF2-40B4-BE49-F238E27FC236}">
              <a16:creationId xmlns:a16="http://schemas.microsoft.com/office/drawing/2014/main" id="{11409333-DE12-48C7-9646-5102F5B83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535095</xdr:colOff>
      <xdr:row>24</xdr:row>
      <xdr:rowOff>174766</xdr:rowOff>
    </xdr:from>
    <xdr:to>
      <xdr:col>28</xdr:col>
      <xdr:colOff>448695</xdr:colOff>
      <xdr:row>28</xdr:row>
      <xdr:rowOff>94666</xdr:rowOff>
    </xdr:to>
    <xdr:graphicFrame macro="">
      <xdr:nvGraphicFramePr>
        <xdr:cNvPr id="7" name="Diagramm 11">
          <a:extLst>
            <a:ext uri="{FF2B5EF4-FFF2-40B4-BE49-F238E27FC236}">
              <a16:creationId xmlns:a16="http://schemas.microsoft.com/office/drawing/2014/main" id="{681E2C1E-EA61-4E5C-B8C2-1A8EEE4A5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535095</xdr:colOff>
      <xdr:row>28</xdr:row>
      <xdr:rowOff>152259</xdr:rowOff>
    </xdr:from>
    <xdr:to>
      <xdr:col>28</xdr:col>
      <xdr:colOff>448695</xdr:colOff>
      <xdr:row>32</xdr:row>
      <xdr:rowOff>91209</xdr:rowOff>
    </xdr:to>
    <xdr:graphicFrame macro="">
      <xdr:nvGraphicFramePr>
        <xdr:cNvPr id="8" name="Diagramm 12">
          <a:extLst>
            <a:ext uri="{FF2B5EF4-FFF2-40B4-BE49-F238E27FC236}">
              <a16:creationId xmlns:a16="http://schemas.microsoft.com/office/drawing/2014/main" id="{80118485-F7FF-41E9-BB90-6A33CB62B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535095</xdr:colOff>
      <xdr:row>32</xdr:row>
      <xdr:rowOff>148801</xdr:rowOff>
    </xdr:from>
    <xdr:to>
      <xdr:col>28</xdr:col>
      <xdr:colOff>448695</xdr:colOff>
      <xdr:row>36</xdr:row>
      <xdr:rowOff>106801</xdr:rowOff>
    </xdr:to>
    <xdr:graphicFrame macro="">
      <xdr:nvGraphicFramePr>
        <xdr:cNvPr id="15" name="Diagramm 13">
          <a:extLst>
            <a:ext uri="{FF2B5EF4-FFF2-40B4-BE49-F238E27FC236}">
              <a16:creationId xmlns:a16="http://schemas.microsoft.com/office/drawing/2014/main" id="{3F483F35-D7A5-4A72-B0E8-56994CE0B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42757</xdr:colOff>
      <xdr:row>15</xdr:row>
      <xdr:rowOff>151624</xdr:rowOff>
    </xdr:from>
    <xdr:to>
      <xdr:col>25</xdr:col>
      <xdr:colOff>194482</xdr:colOff>
      <xdr:row>19</xdr:row>
      <xdr:rowOff>147724</xdr:rowOff>
    </xdr:to>
    <xdr:graphicFrame macro="">
      <xdr:nvGraphicFramePr>
        <xdr:cNvPr id="11" name="Diagramm 3">
          <a:extLst>
            <a:ext uri="{FF2B5EF4-FFF2-40B4-BE49-F238E27FC236}">
              <a16:creationId xmlns:a16="http://schemas.microsoft.com/office/drawing/2014/main" id="{6EBFF006-3246-4116-8210-BFF87AC89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42757</xdr:colOff>
      <xdr:row>19</xdr:row>
      <xdr:rowOff>84667</xdr:rowOff>
    </xdr:from>
    <xdr:to>
      <xdr:col>25</xdr:col>
      <xdr:colOff>194482</xdr:colOff>
      <xdr:row>23</xdr:row>
      <xdr:rowOff>80767</xdr:rowOff>
    </xdr:to>
    <xdr:graphicFrame macro="">
      <xdr:nvGraphicFramePr>
        <xdr:cNvPr id="12" name="Diagramm 4">
          <a:extLst>
            <a:ext uri="{FF2B5EF4-FFF2-40B4-BE49-F238E27FC236}">
              <a16:creationId xmlns:a16="http://schemas.microsoft.com/office/drawing/2014/main" id="{948BB65D-2F62-4D06-AAC1-0E68DCBBE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42757</xdr:colOff>
      <xdr:row>23</xdr:row>
      <xdr:rowOff>17710</xdr:rowOff>
    </xdr:from>
    <xdr:to>
      <xdr:col>25</xdr:col>
      <xdr:colOff>194482</xdr:colOff>
      <xdr:row>27</xdr:row>
      <xdr:rowOff>13810</xdr:rowOff>
    </xdr:to>
    <xdr:graphicFrame macro="">
      <xdr:nvGraphicFramePr>
        <xdr:cNvPr id="13" name="Diagramm 5">
          <a:extLst>
            <a:ext uri="{FF2B5EF4-FFF2-40B4-BE49-F238E27FC236}">
              <a16:creationId xmlns:a16="http://schemas.microsoft.com/office/drawing/2014/main" id="{39A521B7-4117-480C-94E7-B6602EA48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42757</xdr:colOff>
      <xdr:row>26</xdr:row>
      <xdr:rowOff>131728</xdr:rowOff>
    </xdr:from>
    <xdr:to>
      <xdr:col>25</xdr:col>
      <xdr:colOff>194482</xdr:colOff>
      <xdr:row>30</xdr:row>
      <xdr:rowOff>127828</xdr:rowOff>
    </xdr:to>
    <xdr:graphicFrame macro="">
      <xdr:nvGraphicFramePr>
        <xdr:cNvPr id="14" name="Diagramm 6">
          <a:extLst>
            <a:ext uri="{FF2B5EF4-FFF2-40B4-BE49-F238E27FC236}">
              <a16:creationId xmlns:a16="http://schemas.microsoft.com/office/drawing/2014/main" id="{BD772A44-9A6E-4655-AAF4-2E73E2242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42757</xdr:colOff>
      <xdr:row>30</xdr:row>
      <xdr:rowOff>64769</xdr:rowOff>
    </xdr:from>
    <xdr:to>
      <xdr:col>25</xdr:col>
      <xdr:colOff>194482</xdr:colOff>
      <xdr:row>34</xdr:row>
      <xdr:rowOff>60869</xdr:rowOff>
    </xdr:to>
    <xdr:graphicFrame macro="">
      <xdr:nvGraphicFramePr>
        <xdr:cNvPr id="15" name="Diagramm 7">
          <a:extLst>
            <a:ext uri="{FF2B5EF4-FFF2-40B4-BE49-F238E27FC236}">
              <a16:creationId xmlns:a16="http://schemas.microsoft.com/office/drawing/2014/main" id="{9EDB092B-47DD-484F-A092-F3EAB16E5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42757</xdr:colOff>
      <xdr:row>8</xdr:row>
      <xdr:rowOff>104563</xdr:rowOff>
    </xdr:from>
    <xdr:to>
      <xdr:col>25</xdr:col>
      <xdr:colOff>194482</xdr:colOff>
      <xdr:row>12</xdr:row>
      <xdr:rowOff>100663</xdr:rowOff>
    </xdr:to>
    <xdr:graphicFrame macro="">
      <xdr:nvGraphicFramePr>
        <xdr:cNvPr id="2" name="Diagramm 8">
          <a:extLst>
            <a:ext uri="{FF2B5EF4-FFF2-40B4-BE49-F238E27FC236}">
              <a16:creationId xmlns:a16="http://schemas.microsoft.com/office/drawing/2014/main" id="{C75D630C-9334-4F38-8709-C6B9CC264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42757</xdr:colOff>
      <xdr:row>12</xdr:row>
      <xdr:rowOff>37606</xdr:rowOff>
    </xdr:from>
    <xdr:to>
      <xdr:col>25</xdr:col>
      <xdr:colOff>194482</xdr:colOff>
      <xdr:row>16</xdr:row>
      <xdr:rowOff>33706</xdr:rowOff>
    </xdr:to>
    <xdr:graphicFrame macro="">
      <xdr:nvGraphicFramePr>
        <xdr:cNvPr id="3" name="Diagramm 9">
          <a:extLst>
            <a:ext uri="{FF2B5EF4-FFF2-40B4-BE49-F238E27FC236}">
              <a16:creationId xmlns:a16="http://schemas.microsoft.com/office/drawing/2014/main" id="{C466B3B2-FCD0-4375-B736-68F2C897E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85725</xdr:colOff>
      <xdr:row>43</xdr:row>
      <xdr:rowOff>171449</xdr:rowOff>
    </xdr:from>
    <xdr:to>
      <xdr:col>25</xdr:col>
      <xdr:colOff>390525</xdr:colOff>
      <xdr:row>51</xdr:row>
      <xdr:rowOff>106499</xdr:rowOff>
    </xdr:to>
    <xdr:graphicFrame macro="">
      <xdr:nvGraphicFramePr>
        <xdr:cNvPr id="6" name="Diagramm 5">
          <a:extLst>
            <a:ext uri="{FF2B5EF4-FFF2-40B4-BE49-F238E27FC236}">
              <a16:creationId xmlns:a16="http://schemas.microsoft.com/office/drawing/2014/main" id="{9EDECE69-67A7-B98C-6956-D2EB68B9BD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85725</xdr:colOff>
      <xdr:row>6</xdr:row>
      <xdr:rowOff>161925</xdr:rowOff>
    </xdr:from>
    <xdr:to>
      <xdr:col>25</xdr:col>
      <xdr:colOff>390525</xdr:colOff>
      <xdr:row>14</xdr:row>
      <xdr:rowOff>87450</xdr:rowOff>
    </xdr:to>
    <xdr:graphicFrame macro="">
      <xdr:nvGraphicFramePr>
        <xdr:cNvPr id="7" name="Diagramm 6">
          <a:extLst>
            <a:ext uri="{FF2B5EF4-FFF2-40B4-BE49-F238E27FC236}">
              <a16:creationId xmlns:a16="http://schemas.microsoft.com/office/drawing/2014/main" id="{699EB422-A222-C687-C6E2-EDAF924CD6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563880</xdr:colOff>
      <xdr:row>6</xdr:row>
      <xdr:rowOff>161925</xdr:rowOff>
    </xdr:from>
    <xdr:to>
      <xdr:col>17</xdr:col>
      <xdr:colOff>259080</xdr:colOff>
      <xdr:row>14</xdr:row>
      <xdr:rowOff>87450</xdr:rowOff>
    </xdr:to>
    <xdr:graphicFrame macro="">
      <xdr:nvGraphicFramePr>
        <xdr:cNvPr id="4" name="Diagramm 3">
          <a:extLst>
            <a:ext uri="{FF2B5EF4-FFF2-40B4-BE49-F238E27FC236}">
              <a16:creationId xmlns:a16="http://schemas.microsoft.com/office/drawing/2014/main" id="{E8803764-B21D-32DE-708D-14298A4D03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563880</xdr:colOff>
      <xdr:row>16</xdr:row>
      <xdr:rowOff>57151</xdr:rowOff>
    </xdr:from>
    <xdr:to>
      <xdr:col>17</xdr:col>
      <xdr:colOff>259080</xdr:colOff>
      <xdr:row>23</xdr:row>
      <xdr:rowOff>173176</xdr:rowOff>
    </xdr:to>
    <xdr:graphicFrame macro="">
      <xdr:nvGraphicFramePr>
        <xdr:cNvPr id="5" name="Diagramm 4">
          <a:extLst>
            <a:ext uri="{FF2B5EF4-FFF2-40B4-BE49-F238E27FC236}">
              <a16:creationId xmlns:a16="http://schemas.microsoft.com/office/drawing/2014/main" id="{5ED24E01-00A7-F5B1-48BE-34AED3C1C9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85725</xdr:colOff>
      <xdr:row>16</xdr:row>
      <xdr:rowOff>57151</xdr:rowOff>
    </xdr:from>
    <xdr:to>
      <xdr:col>25</xdr:col>
      <xdr:colOff>390525</xdr:colOff>
      <xdr:row>23</xdr:row>
      <xdr:rowOff>173176</xdr:rowOff>
    </xdr:to>
    <xdr:graphicFrame macro="">
      <xdr:nvGraphicFramePr>
        <xdr:cNvPr id="8" name="Diagramm 7">
          <a:extLst>
            <a:ext uri="{FF2B5EF4-FFF2-40B4-BE49-F238E27FC236}">
              <a16:creationId xmlns:a16="http://schemas.microsoft.com/office/drawing/2014/main" id="{9BDF8593-7FF9-F27B-5DC3-6AFF08A56C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563880</xdr:colOff>
      <xdr:row>24</xdr:row>
      <xdr:rowOff>180974</xdr:rowOff>
    </xdr:from>
    <xdr:to>
      <xdr:col>17</xdr:col>
      <xdr:colOff>259080</xdr:colOff>
      <xdr:row>32</xdr:row>
      <xdr:rowOff>135074</xdr:rowOff>
    </xdr:to>
    <xdr:graphicFrame macro="">
      <xdr:nvGraphicFramePr>
        <xdr:cNvPr id="9" name="Diagramm 8">
          <a:extLst>
            <a:ext uri="{FF2B5EF4-FFF2-40B4-BE49-F238E27FC236}">
              <a16:creationId xmlns:a16="http://schemas.microsoft.com/office/drawing/2014/main" id="{9B7D675A-C184-90D3-52B9-06DC50F10A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85725</xdr:colOff>
      <xdr:row>24</xdr:row>
      <xdr:rowOff>180974</xdr:rowOff>
    </xdr:from>
    <xdr:to>
      <xdr:col>25</xdr:col>
      <xdr:colOff>390525</xdr:colOff>
      <xdr:row>32</xdr:row>
      <xdr:rowOff>135074</xdr:rowOff>
    </xdr:to>
    <xdr:graphicFrame macro="">
      <xdr:nvGraphicFramePr>
        <xdr:cNvPr id="10" name="Diagramm 9">
          <a:extLst>
            <a:ext uri="{FF2B5EF4-FFF2-40B4-BE49-F238E27FC236}">
              <a16:creationId xmlns:a16="http://schemas.microsoft.com/office/drawing/2014/main" id="{A0D25EF0-DEB3-390C-1E2E-C1FA64A81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563880</xdr:colOff>
      <xdr:row>34</xdr:row>
      <xdr:rowOff>9525</xdr:rowOff>
    </xdr:from>
    <xdr:to>
      <xdr:col>17</xdr:col>
      <xdr:colOff>259080</xdr:colOff>
      <xdr:row>41</xdr:row>
      <xdr:rowOff>135075</xdr:rowOff>
    </xdr:to>
    <xdr:graphicFrame macro="">
      <xdr:nvGraphicFramePr>
        <xdr:cNvPr id="11" name="Diagramm 10">
          <a:extLst>
            <a:ext uri="{FF2B5EF4-FFF2-40B4-BE49-F238E27FC236}">
              <a16:creationId xmlns:a16="http://schemas.microsoft.com/office/drawing/2014/main" id="{BA2B8232-05A6-9CB1-DFDE-14C70EF3B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85725</xdr:colOff>
      <xdr:row>33</xdr:row>
      <xdr:rowOff>171449</xdr:rowOff>
    </xdr:from>
    <xdr:to>
      <xdr:col>25</xdr:col>
      <xdr:colOff>390525</xdr:colOff>
      <xdr:row>41</xdr:row>
      <xdr:rowOff>106499</xdr:rowOff>
    </xdr:to>
    <xdr:graphicFrame macro="">
      <xdr:nvGraphicFramePr>
        <xdr:cNvPr id="12" name="Diagramm 11">
          <a:extLst>
            <a:ext uri="{FF2B5EF4-FFF2-40B4-BE49-F238E27FC236}">
              <a16:creationId xmlns:a16="http://schemas.microsoft.com/office/drawing/2014/main" id="{9ABADE95-4DDF-CBD4-C584-7DE174EAF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563880</xdr:colOff>
      <xdr:row>43</xdr:row>
      <xdr:rowOff>171450</xdr:rowOff>
    </xdr:from>
    <xdr:to>
      <xdr:col>17</xdr:col>
      <xdr:colOff>295080</xdr:colOff>
      <xdr:row>58</xdr:row>
      <xdr:rowOff>76200</xdr:rowOff>
    </xdr:to>
    <xdr:graphicFrame macro="">
      <xdr:nvGraphicFramePr>
        <xdr:cNvPr id="2" name="Diagramm 12">
          <a:extLst>
            <a:ext uri="{FF2B5EF4-FFF2-40B4-BE49-F238E27FC236}">
              <a16:creationId xmlns:a16="http://schemas.microsoft.com/office/drawing/2014/main" id="{07296B67-3A60-4CE6-2BC7-77AC7DE800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395393</xdr:colOff>
      <xdr:row>3</xdr:row>
      <xdr:rowOff>43814</xdr:rowOff>
    </xdr:from>
    <xdr:to>
      <xdr:col>19</xdr:col>
      <xdr:colOff>8467</xdr:colOff>
      <xdr:row>14</xdr:row>
      <xdr:rowOff>66252</xdr:rowOff>
    </xdr:to>
    <xdr:graphicFrame macro="">
      <xdr:nvGraphicFramePr>
        <xdr:cNvPr id="3" name="Diagramm 1">
          <a:extLst>
            <a:ext uri="{FF2B5EF4-FFF2-40B4-BE49-F238E27FC236}">
              <a16:creationId xmlns:a16="http://schemas.microsoft.com/office/drawing/2014/main" id="{2DA0011F-C3E4-4D11-A8CD-D4F6E5C3C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268605</xdr:colOff>
      <xdr:row>18</xdr:row>
      <xdr:rowOff>38947</xdr:rowOff>
    </xdr:from>
    <xdr:to>
      <xdr:col>21</xdr:col>
      <xdr:colOff>193673</xdr:colOff>
      <xdr:row>43</xdr:row>
      <xdr:rowOff>70484</xdr:rowOff>
    </xdr:to>
    <mc:AlternateContent xmlns:mc="http://schemas.openxmlformats.org/markup-compatibility/2006">
      <mc:Choice xmlns:cx1="http://schemas.microsoft.com/office/drawing/2015/9/8/chartex" Requires="cx1">
        <xdr:graphicFrame macro="">
          <xdr:nvGraphicFramePr>
            <xdr:cNvPr id="27" name="Diagramm 2">
              <a:extLst>
                <a:ext uri="{FF2B5EF4-FFF2-40B4-BE49-F238E27FC236}">
                  <a16:creationId xmlns:a16="http://schemas.microsoft.com/office/drawing/2014/main" id="{3081293A-BB6B-48CD-A466-1E54E3444D9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164955" y="4315672"/>
              <a:ext cx="6659243" cy="5546512"/>
            </a:xfrm>
            <a:prstGeom prst="rect">
              <a:avLst/>
            </a:prstGeom>
            <a:solidFill>
              <a:prstClr val="white"/>
            </a:solidFill>
            <a:ln w="1">
              <a:solidFill>
                <a:prstClr val="green"/>
              </a:solidFill>
            </a:ln>
          </xdr:spPr>
          <xdr:txBody>
            <a:bodyPr vertOverflow="clip" horzOverflow="clip"/>
            <a:lstStyle/>
            <a:p>
              <a:r>
                <a:rPr lang="et-EE" sz="1100"/>
                <a:t>See diagramm pole teie Exceli versioonis saadaval.
Kui redigeerite seda kujundit või salvestate selle töövihiku mõnes muus failivormingus, rikute diagrammi jäädavalt.</a:t>
              </a:r>
            </a:p>
          </xdr:txBody>
        </xdr:sp>
      </mc:Fallback>
    </mc:AlternateContent>
    <xdr:clientData/>
  </xdr:twoCellAnchor>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estliknaitus.ekm.ee/" TargetMode="External"/><Relationship Id="rId1" Type="http://schemas.openxmlformats.org/officeDocument/2006/relationships/hyperlink" Target="https://envir.ee/kliima/toetavad-materjalid/organisatsioonide-khg-jalajal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klab.ee/f-gaasid/f-gaaside-co%e2%82%82-ekvivalendi-kalkulaato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hyperlink" Target="https://kliimaministeerium.ee/organisatsioonide-khg-jalajalg"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kliimaministeerium.ee/organisatsioonide-khg-jalajalg" TargetMode="External"/><Relationship Id="rId1" Type="http://schemas.openxmlformats.org/officeDocument/2006/relationships/hyperlink" Target="https://klab.ee/f-gaasid/juhendid/jahutus-ja-kliimaseadmete-ning-soojuspumpade-kaitlejale/oluline-teada-paiksed-jahutusseadme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B1176-925E-4EC0-AA12-08EC2607545B}">
  <sheetPr>
    <tabColor rgb="FFF7E7D4"/>
    <pageSetUpPr fitToPage="1"/>
  </sheetPr>
  <dimension ref="A6:W16"/>
  <sheetViews>
    <sheetView showGridLines="0" tabSelected="1" zoomScale="90" zoomScaleNormal="90" workbookViewId="0">
      <pane xSplit="1" ySplit="7" topLeftCell="B8" activePane="bottomRight" state="frozen"/>
      <selection pane="topRight" activeCell="B1" sqref="B1"/>
      <selection pane="bottomLeft" activeCell="A8" sqref="A8"/>
      <selection pane="bottomRight" activeCell="U15" sqref="U15"/>
    </sheetView>
  </sheetViews>
  <sheetFormatPr defaultRowHeight="15" x14ac:dyDescent="0.25"/>
  <cols>
    <col min="1" max="1" width="2.5703125" customWidth="1"/>
    <col min="2" max="3" width="9.28515625" customWidth="1"/>
    <col min="4" max="10" width="9.28515625" style="3"/>
  </cols>
  <sheetData>
    <row r="6" spans="1:23" ht="18.75" x14ac:dyDescent="0.3">
      <c r="B6" s="25"/>
    </row>
    <row r="7" spans="1:23" ht="23.25" x14ac:dyDescent="0.35">
      <c r="B7" s="99" t="s">
        <v>355</v>
      </c>
    </row>
    <row r="8" spans="1:23" x14ac:dyDescent="0.25">
      <c r="B8" s="22"/>
    </row>
    <row r="9" spans="1:23" x14ac:dyDescent="0.25">
      <c r="B9" s="537" t="s">
        <v>0</v>
      </c>
      <c r="C9" s="538"/>
      <c r="D9" s="538"/>
      <c r="E9" s="538"/>
      <c r="F9" s="538"/>
      <c r="G9" s="538"/>
      <c r="H9" s="538"/>
      <c r="I9" s="538"/>
      <c r="J9" s="538"/>
      <c r="K9" s="538"/>
      <c r="L9" s="538"/>
      <c r="M9" s="538"/>
      <c r="N9" s="115"/>
      <c r="O9" s="115"/>
      <c r="P9" s="115"/>
      <c r="Q9" s="115"/>
      <c r="R9" s="115"/>
      <c r="S9" s="115"/>
      <c r="T9" s="115"/>
      <c r="U9" s="115"/>
      <c r="V9" s="115"/>
      <c r="W9" s="115"/>
    </row>
    <row r="10" spans="1:23" ht="153" customHeight="1" x14ac:dyDescent="0.25">
      <c r="A10" s="5"/>
      <c r="B10" s="539" t="s">
        <v>393</v>
      </c>
      <c r="C10" s="540"/>
      <c r="D10" s="540"/>
      <c r="E10" s="540"/>
      <c r="F10" s="540"/>
      <c r="G10" s="540"/>
      <c r="H10" s="540"/>
      <c r="I10" s="540"/>
      <c r="J10" s="540"/>
      <c r="K10" s="540"/>
      <c r="L10" s="540"/>
      <c r="M10" s="541"/>
    </row>
    <row r="12" spans="1:23" x14ac:dyDescent="0.25">
      <c r="B12" s="537" t="s">
        <v>1</v>
      </c>
      <c r="C12" s="538"/>
      <c r="D12" s="538"/>
      <c r="E12" s="538"/>
      <c r="F12" s="538"/>
      <c r="G12" s="538"/>
      <c r="H12" s="538"/>
      <c r="I12" s="538"/>
      <c r="J12" s="538"/>
      <c r="K12" s="538"/>
      <c r="L12" s="538"/>
      <c r="M12" s="538"/>
    </row>
    <row r="13" spans="1:23" ht="48" customHeight="1" x14ac:dyDescent="0.25">
      <c r="B13" s="542" t="s">
        <v>356</v>
      </c>
      <c r="C13" s="543"/>
      <c r="D13" s="543"/>
      <c r="E13" s="543"/>
      <c r="F13" s="543"/>
      <c r="G13" s="543"/>
      <c r="H13" s="543"/>
      <c r="I13" s="543"/>
      <c r="J13" s="543"/>
      <c r="K13" s="543"/>
      <c r="L13" s="543"/>
      <c r="M13" s="544"/>
    </row>
    <row r="14" spans="1:23" ht="320.25" customHeight="1" x14ac:dyDescent="0.25">
      <c r="B14" s="545" t="s">
        <v>469</v>
      </c>
      <c r="C14" s="546"/>
      <c r="D14" s="546"/>
      <c r="E14" s="546"/>
      <c r="F14" s="546"/>
      <c r="G14" s="546"/>
      <c r="H14" s="546"/>
      <c r="I14" s="546"/>
      <c r="J14" s="546"/>
      <c r="K14" s="546"/>
      <c r="L14" s="546"/>
      <c r="M14" s="547"/>
    </row>
    <row r="15" spans="1:23" ht="348" customHeight="1" x14ac:dyDescent="0.25">
      <c r="B15" s="534" t="s">
        <v>495</v>
      </c>
      <c r="C15" s="535"/>
      <c r="D15" s="535"/>
      <c r="E15" s="535"/>
      <c r="F15" s="535"/>
      <c r="G15" s="535"/>
      <c r="H15" s="535"/>
      <c r="I15" s="535"/>
      <c r="J15" s="535"/>
      <c r="K15" s="535"/>
      <c r="L15" s="535"/>
      <c r="M15" s="536"/>
      <c r="N15" s="171"/>
    </row>
    <row r="16" spans="1:23" ht="15" customHeight="1" x14ac:dyDescent="0.25">
      <c r="B16" s="158"/>
      <c r="C16" s="158"/>
      <c r="D16" s="158"/>
      <c r="E16" s="158"/>
      <c r="F16" s="158"/>
      <c r="G16" s="158"/>
      <c r="H16" s="158"/>
      <c r="I16" s="158"/>
      <c r="J16" s="158"/>
    </row>
  </sheetData>
  <mergeCells count="6">
    <mergeCell ref="B15:M15"/>
    <mergeCell ref="B9:M9"/>
    <mergeCell ref="B10:M10"/>
    <mergeCell ref="B12:M12"/>
    <mergeCell ref="B13:M13"/>
    <mergeCell ref="B14:M14"/>
  </mergeCells>
  <hyperlinks>
    <hyperlink ref="B15:K15" r:id="rId1" display="https://envir.ee/kliima/toetavad-materjalid/organisatsioonide-khg-jalajalg" xr:uid="{5E628888-82CB-403B-9BFC-1D04CF350D4F}"/>
    <hyperlink ref="B10:M10" r:id="rId2" display="Käesolev mudel pakub raamistiku muuseumidele oma keskkonnajalajälje, sh kasvuhoonegaaside (KHG) jalajälje arvutamiseks ja seiramiseks. Mudel on eelkõige mõeldud hoone ja seotud olulisemate keskkonnaaspektide/-mõjude (energiakasutus, veetarbimine, paberikasutus, jäätmeteke) mõõtmiseks ja aastapõhiseks KHG jalajälje hindamiseks. Sellisel kujul on arvutusmudel keskkonnajalajälje hindamise abivahendiks rohelise muuseumi süsteemi rakendanud muuseumidele ning pakub aluse keskkonnaeesmärkide püstitamiseks ja oma keskkonnategevuse tulemuslikkuse järjepidevaks mõõtmiseks/hindamiseks. Lisaks saavad muuseumid oma näituste jm seotud teenuste (nt trükised) ja muu materjalikasutuse osas hinnata jalajälge Kumu/EKM poolt tellitud mudeliga (https://kestliknaitus.ekm.ee/) Need kaks siis täiendaksid teineteist." xr:uid="{A2AF2876-539F-4560-A31F-D88B2B720148}"/>
  </hyperlinks>
  <pageMargins left="0.70866141732283472" right="0.70866141732283472" top="0.74803149606299213" bottom="0.74803149606299213" header="0.31496062992125984" footer="0.31496062992125984"/>
  <pageSetup paperSize="9" scale="77" fitToHeight="3"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7E7D4"/>
    <pageSetUpPr fitToPage="1"/>
  </sheetPr>
  <dimension ref="A2:J16"/>
  <sheetViews>
    <sheetView showGridLines="0" zoomScaleNormal="100" workbookViewId="0">
      <pane xSplit="1" ySplit="2" topLeftCell="B3" activePane="bottomRight" state="frozen"/>
      <selection pane="topRight" activeCell="B1" sqref="B1"/>
      <selection pane="bottomLeft" activeCell="A3" sqref="A3"/>
      <selection pane="bottomRight" activeCell="M4" sqref="M4"/>
    </sheetView>
  </sheetViews>
  <sheetFormatPr defaultRowHeight="15" x14ac:dyDescent="0.25"/>
  <cols>
    <col min="1" max="1" width="2.5703125" customWidth="1"/>
    <col min="2" max="2" width="58.7109375" customWidth="1"/>
    <col min="3" max="3" width="9.42578125" style="3" bestFit="1" customWidth="1"/>
    <col min="4" max="9" width="9.28515625" style="3"/>
  </cols>
  <sheetData>
    <row r="2" spans="1:10" ht="18.75" x14ac:dyDescent="0.3">
      <c r="B2" s="32" t="s">
        <v>357</v>
      </c>
    </row>
    <row r="3" spans="1:10" ht="18.75" x14ac:dyDescent="0.3">
      <c r="B3" s="32"/>
    </row>
    <row r="4" spans="1:10" ht="127.5" customHeight="1" x14ac:dyDescent="0.25">
      <c r="B4" s="548" t="s">
        <v>392</v>
      </c>
      <c r="C4" s="549"/>
      <c r="D4" s="549"/>
      <c r="E4" s="549"/>
      <c r="F4" s="549"/>
      <c r="G4" s="549"/>
      <c r="H4" s="549"/>
      <c r="I4" s="550"/>
    </row>
    <row r="6" spans="1:10" x14ac:dyDescent="0.25">
      <c r="A6" s="13"/>
      <c r="B6" s="117" t="s">
        <v>2</v>
      </c>
      <c r="C6" s="41"/>
      <c r="D6" s="41"/>
      <c r="E6" s="41"/>
      <c r="F6" s="41"/>
      <c r="G6" s="41"/>
      <c r="H6" s="41"/>
    </row>
    <row r="7" spans="1:10" ht="14.65" customHeight="1" x14ac:dyDescent="0.25">
      <c r="A7" s="14"/>
      <c r="B7" s="355" t="s">
        <v>3</v>
      </c>
      <c r="C7" s="41"/>
      <c r="D7" s="41"/>
      <c r="E7" s="41"/>
      <c r="F7" s="41"/>
      <c r="G7" s="41"/>
      <c r="H7" s="41"/>
    </row>
    <row r="8" spans="1:10" ht="14.65" customHeight="1" x14ac:dyDescent="0.25">
      <c r="A8" s="14"/>
      <c r="B8" s="356" t="s">
        <v>4</v>
      </c>
      <c r="C8" s="41"/>
      <c r="D8" s="41"/>
      <c r="E8" s="41"/>
      <c r="F8" s="41"/>
      <c r="G8" s="41"/>
      <c r="H8" s="41"/>
    </row>
    <row r="9" spans="1:10" x14ac:dyDescent="0.25">
      <c r="A9" s="5"/>
    </row>
    <row r="10" spans="1:10" x14ac:dyDescent="0.25">
      <c r="A10" s="5"/>
    </row>
    <row r="11" spans="1:10" x14ac:dyDescent="0.25">
      <c r="A11" s="5"/>
      <c r="B11" s="551" t="s">
        <v>5</v>
      </c>
      <c r="C11" s="553">
        <v>2022</v>
      </c>
      <c r="D11" s="553">
        <v>2023</v>
      </c>
      <c r="E11" s="553">
        <v>2024</v>
      </c>
      <c r="F11" s="553">
        <v>2025</v>
      </c>
      <c r="G11" s="553">
        <v>2026</v>
      </c>
      <c r="H11" s="553">
        <v>2027</v>
      </c>
      <c r="I11" s="553">
        <v>2028</v>
      </c>
    </row>
    <row r="12" spans="1:10" x14ac:dyDescent="0.25">
      <c r="A12" s="9"/>
      <c r="B12" s="552"/>
      <c r="C12" s="554"/>
      <c r="D12" s="554"/>
      <c r="E12" s="554"/>
      <c r="F12" s="554"/>
      <c r="G12" s="554"/>
      <c r="H12" s="554"/>
      <c r="I12" s="554"/>
    </row>
    <row r="13" spans="1:10" ht="27" customHeight="1" x14ac:dyDescent="0.25">
      <c r="A13" s="9"/>
      <c r="B13" s="279" t="s">
        <v>377</v>
      </c>
      <c r="C13" s="353"/>
      <c r="D13" s="353"/>
      <c r="E13" s="353"/>
      <c r="F13" s="353"/>
      <c r="G13" s="353"/>
      <c r="H13" s="353"/>
      <c r="I13" s="353"/>
    </row>
    <row r="14" spans="1:10" x14ac:dyDescent="0.25">
      <c r="A14" s="9"/>
      <c r="B14" s="499" t="s">
        <v>360</v>
      </c>
      <c r="C14" s="354"/>
      <c r="D14" s="354"/>
      <c r="E14" s="354"/>
      <c r="F14" s="354"/>
      <c r="G14" s="354"/>
      <c r="H14" s="354"/>
      <c r="I14" s="354"/>
      <c r="J14" s="49"/>
    </row>
    <row r="15" spans="1:10" ht="15.75" x14ac:dyDescent="0.25">
      <c r="A15" s="10"/>
      <c r="B15" s="102" t="s">
        <v>358</v>
      </c>
      <c r="C15" s="354"/>
      <c r="D15" s="354"/>
      <c r="E15" s="354"/>
      <c r="F15" s="354"/>
      <c r="G15" s="354"/>
      <c r="H15" s="354"/>
      <c r="I15" s="354"/>
    </row>
    <row r="16" spans="1:10" x14ac:dyDescent="0.25">
      <c r="B16" s="330"/>
      <c r="C16" s="116"/>
    </row>
  </sheetData>
  <mergeCells count="9">
    <mergeCell ref="B4:I4"/>
    <mergeCell ref="B11:B12"/>
    <mergeCell ref="C11:C12"/>
    <mergeCell ref="I11:I12"/>
    <mergeCell ref="D11:D12"/>
    <mergeCell ref="E11:E12"/>
    <mergeCell ref="F11:F12"/>
    <mergeCell ref="G11:G12"/>
    <mergeCell ref="H11:H12"/>
  </mergeCells>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BA12"/>
    <pageSetUpPr fitToPage="1"/>
  </sheetPr>
  <dimension ref="B1:T47"/>
  <sheetViews>
    <sheetView showGridLines="0" zoomScaleNormal="100" workbookViewId="0">
      <pane xSplit="1" ySplit="2" topLeftCell="B18" activePane="bottomRight" state="frozen"/>
      <selection pane="topRight" activeCell="B1" sqref="B1"/>
      <selection pane="bottomLeft" activeCell="A3" sqref="A3"/>
      <selection pane="bottomRight" activeCell="D43" sqref="D43:O43"/>
    </sheetView>
  </sheetViews>
  <sheetFormatPr defaultColWidth="9.28515625" defaultRowHeight="15" x14ac:dyDescent="0.25"/>
  <cols>
    <col min="1" max="1" width="2.5703125" style="19" customWidth="1"/>
    <col min="2" max="2" width="7.5703125" style="19" customWidth="1"/>
    <col min="3" max="3" width="41.7109375" style="20" bestFit="1" customWidth="1"/>
    <col min="4" max="15" width="10.7109375" style="20" customWidth="1"/>
    <col min="16" max="16" width="15.7109375" style="56" customWidth="1"/>
    <col min="17" max="18" width="15.7109375" customWidth="1"/>
    <col min="19" max="19" width="9.28515625" style="19"/>
    <col min="20" max="20" width="10.28515625" style="19" bestFit="1" customWidth="1"/>
    <col min="21" max="16384" width="9.28515625" style="19"/>
  </cols>
  <sheetData>
    <row r="1" spans="2:20" x14ac:dyDescent="0.25">
      <c r="D1" s="19"/>
      <c r="E1" s="19"/>
    </row>
    <row r="2" spans="2:20" ht="18.75" x14ac:dyDescent="0.3">
      <c r="B2" s="28" t="s">
        <v>6</v>
      </c>
      <c r="D2" s="19"/>
      <c r="E2" s="19"/>
    </row>
    <row r="3" spans="2:20" x14ac:dyDescent="0.25">
      <c r="D3" s="19"/>
      <c r="E3" s="19"/>
    </row>
    <row r="4" spans="2:20" ht="138" customHeight="1" x14ac:dyDescent="0.25">
      <c r="B4" s="548" t="s">
        <v>363</v>
      </c>
      <c r="C4" s="555"/>
      <c r="D4" s="555"/>
      <c r="E4" s="555"/>
      <c r="F4" s="555"/>
      <c r="G4" s="555"/>
      <c r="H4" s="555"/>
      <c r="I4" s="555"/>
      <c r="J4" s="555"/>
      <c r="K4" s="555"/>
      <c r="L4" s="555"/>
      <c r="M4" s="555"/>
      <c r="N4" s="555"/>
      <c r="O4" s="555"/>
      <c r="P4" s="555"/>
      <c r="Q4" s="555"/>
      <c r="R4" s="556"/>
    </row>
    <row r="5" spans="2:20" ht="15.75" x14ac:dyDescent="0.25">
      <c r="B5" s="34"/>
      <c r="C5" s="45"/>
      <c r="D5" s="34"/>
      <c r="E5" s="34"/>
      <c r="F5" s="34"/>
      <c r="G5" s="34"/>
      <c r="H5" s="34"/>
    </row>
    <row r="6" spans="2:20" x14ac:dyDescent="0.25">
      <c r="B6" s="567" t="s">
        <v>2</v>
      </c>
      <c r="C6" s="567"/>
      <c r="D6" s="19"/>
      <c r="E6" s="19"/>
      <c r="O6" s="51"/>
      <c r="P6" s="20"/>
    </row>
    <row r="7" spans="2:20" ht="14.65" customHeight="1" x14ac:dyDescent="0.25">
      <c r="C7" s="331" t="s">
        <v>3</v>
      </c>
      <c r="D7" s="19"/>
      <c r="E7" s="19"/>
      <c r="O7" s="51"/>
      <c r="P7" s="52"/>
    </row>
    <row r="8" spans="2:20" ht="14.65" customHeight="1" x14ac:dyDescent="0.25">
      <c r="C8" s="340" t="s">
        <v>4</v>
      </c>
      <c r="D8" s="19"/>
      <c r="E8" s="19"/>
      <c r="O8" s="51"/>
      <c r="P8" s="52"/>
    </row>
    <row r="9" spans="2:20" ht="14.65" customHeight="1" thickBot="1" x14ac:dyDescent="0.3">
      <c r="C9" s="150" t="s">
        <v>7</v>
      </c>
      <c r="D9" s="19"/>
      <c r="E9" s="19"/>
      <c r="O9" s="51"/>
      <c r="P9" s="52"/>
    </row>
    <row r="10" spans="2:20" ht="15.75" thickBot="1" x14ac:dyDescent="0.3">
      <c r="E10" s="21"/>
      <c r="Q10" s="565" t="s">
        <v>8</v>
      </c>
      <c r="R10" s="566"/>
    </row>
    <row r="11" spans="2:20" s="21" customFormat="1" ht="19.5" thickBot="1" x14ac:dyDescent="0.35">
      <c r="B11" s="570" t="s">
        <v>9</v>
      </c>
      <c r="C11" s="561" t="s">
        <v>10</v>
      </c>
      <c r="D11" s="559" t="s">
        <v>11</v>
      </c>
      <c r="E11" s="557" t="s">
        <v>12</v>
      </c>
      <c r="F11" s="557" t="s">
        <v>13</v>
      </c>
      <c r="G11" s="557" t="s">
        <v>14</v>
      </c>
      <c r="H11" s="557" t="s">
        <v>15</v>
      </c>
      <c r="I11" s="557" t="s">
        <v>16</v>
      </c>
      <c r="J11" s="557" t="s">
        <v>17</v>
      </c>
      <c r="K11" s="557" t="s">
        <v>18</v>
      </c>
      <c r="L11" s="557" t="s">
        <v>19</v>
      </c>
      <c r="M11" s="557" t="s">
        <v>20</v>
      </c>
      <c r="N11" s="557" t="s">
        <v>21</v>
      </c>
      <c r="O11" s="563" t="s">
        <v>22</v>
      </c>
      <c r="P11" s="570" t="s">
        <v>23</v>
      </c>
      <c r="Q11" s="568" t="s">
        <v>24</v>
      </c>
      <c r="R11" s="569"/>
      <c r="T11" s="28"/>
    </row>
    <row r="12" spans="2:20" ht="15.75" thickBot="1" x14ac:dyDescent="0.3">
      <c r="B12" s="571"/>
      <c r="C12" s="562"/>
      <c r="D12" s="560"/>
      <c r="E12" s="558"/>
      <c r="F12" s="558"/>
      <c r="G12" s="558"/>
      <c r="H12" s="558"/>
      <c r="I12" s="558"/>
      <c r="J12" s="558"/>
      <c r="K12" s="558"/>
      <c r="L12" s="558"/>
      <c r="M12" s="558"/>
      <c r="N12" s="558"/>
      <c r="O12" s="564"/>
      <c r="P12" s="572"/>
      <c r="Q12" s="136" t="s">
        <v>25</v>
      </c>
      <c r="R12" s="137" t="s">
        <v>26</v>
      </c>
    </row>
    <row r="13" spans="2:20" x14ac:dyDescent="0.25">
      <c r="B13" s="50">
        <f>ÜLDANDMED!C11</f>
        <v>2022</v>
      </c>
      <c r="C13" s="263" t="s">
        <v>366</v>
      </c>
      <c r="D13" s="332"/>
      <c r="E13" s="332"/>
      <c r="F13" s="332"/>
      <c r="G13" s="332"/>
      <c r="H13" s="332"/>
      <c r="I13" s="332"/>
      <c r="J13" s="332"/>
      <c r="K13" s="332"/>
      <c r="L13" s="332"/>
      <c r="M13" s="332"/>
      <c r="N13" s="332"/>
      <c r="O13" s="332"/>
      <c r="P13" s="349">
        <f t="shared" ref="P13:P41" si="0">SUM(D13:O13)</f>
        <v>0</v>
      </c>
      <c r="Q13" s="337"/>
      <c r="R13" s="138"/>
    </row>
    <row r="14" spans="2:20" x14ac:dyDescent="0.25">
      <c r="B14" s="264"/>
      <c r="C14" s="47" t="s">
        <v>27</v>
      </c>
      <c r="D14" s="333"/>
      <c r="E14" s="334"/>
      <c r="F14" s="334"/>
      <c r="G14" s="334"/>
      <c r="H14" s="335"/>
      <c r="I14" s="335"/>
      <c r="J14" s="334"/>
      <c r="K14" s="334"/>
      <c r="L14" s="334"/>
      <c r="M14" s="334"/>
      <c r="N14" s="334"/>
      <c r="O14" s="336"/>
      <c r="P14" s="350" t="e">
        <f>AVERAGE(D14:O14)</f>
        <v>#DIV/0!</v>
      </c>
      <c r="Q14" s="139"/>
      <c r="R14" s="140"/>
    </row>
    <row r="15" spans="2:20" x14ac:dyDescent="0.25">
      <c r="B15" s="264"/>
      <c r="C15" s="46" t="s">
        <v>28</v>
      </c>
      <c r="D15" s="344">
        <f>(kodukontor_elekter+kodukontor_valgustus)*160*ELEKTER!D14/1000</f>
        <v>0</v>
      </c>
      <c r="E15" s="341">
        <f>(kodukontor_elekter+kodukontor_valgustus)*160*ELEKTER!E14/1000</f>
        <v>0</v>
      </c>
      <c r="F15" s="341">
        <f>(kodukontor_elekter+kodukontor_valgustus)*160*ELEKTER!F14/1000</f>
        <v>0</v>
      </c>
      <c r="G15" s="341">
        <f>(kodukontor_elekter+kodukontor_valgustus)*160*ELEKTER!G14/1000</f>
        <v>0</v>
      </c>
      <c r="H15" s="341">
        <f>(kodukontor_elekter+kodukontor_valgustus)*160*ELEKTER!H14/1000</f>
        <v>0</v>
      </c>
      <c r="I15" s="341">
        <f>(kodukontor_elekter+kodukontor_valgustus)*160*ELEKTER!I14/1000</f>
        <v>0</v>
      </c>
      <c r="J15" s="341">
        <f>(kodukontor_elekter+kodukontor_valgustus)*160*ELEKTER!J14/1000</f>
        <v>0</v>
      </c>
      <c r="K15" s="341">
        <f>(kodukontor_elekter+kodukontor_valgustus)*160*ELEKTER!K14/1000</f>
        <v>0</v>
      </c>
      <c r="L15" s="341">
        <f>(kodukontor_elekter+kodukontor_valgustus)*160*ELEKTER!L14/1000</f>
        <v>0</v>
      </c>
      <c r="M15" s="341">
        <f>(kodukontor_elekter+kodukontor_valgustus)*160*ELEKTER!M14/1000</f>
        <v>0</v>
      </c>
      <c r="N15" s="341">
        <f>(kodukontor_elekter+kodukontor_valgustus)*160*ELEKTER!N14/1000</f>
        <v>0</v>
      </c>
      <c r="O15" s="342">
        <f>(kodukontor_elekter+kodukontor_valgustus)*160*ELEKTER!O14/1000</f>
        <v>0</v>
      </c>
      <c r="P15" s="350">
        <f>SUM(D15:O15)</f>
        <v>0</v>
      </c>
      <c r="Q15" s="139"/>
      <c r="R15" s="338"/>
    </row>
    <row r="16" spans="2:20" x14ac:dyDescent="0.25">
      <c r="B16" s="264"/>
      <c r="C16" s="46" t="s">
        <v>29</v>
      </c>
      <c r="D16" s="343">
        <f>SUM(D13,D15)</f>
        <v>0</v>
      </c>
      <c r="E16" s="343">
        <f t="shared" ref="E16:O16" si="1">SUM(E13,E15)</f>
        <v>0</v>
      </c>
      <c r="F16" s="343">
        <f t="shared" si="1"/>
        <v>0</v>
      </c>
      <c r="G16" s="343">
        <f t="shared" si="1"/>
        <v>0</v>
      </c>
      <c r="H16" s="343">
        <f t="shared" si="1"/>
        <v>0</v>
      </c>
      <c r="I16" s="343">
        <f t="shared" si="1"/>
        <v>0</v>
      </c>
      <c r="J16" s="343">
        <f t="shared" si="1"/>
        <v>0</v>
      </c>
      <c r="K16" s="343">
        <f t="shared" si="1"/>
        <v>0</v>
      </c>
      <c r="L16" s="343">
        <f t="shared" si="1"/>
        <v>0</v>
      </c>
      <c r="M16" s="343">
        <f t="shared" si="1"/>
        <v>0</v>
      </c>
      <c r="N16" s="343">
        <f t="shared" si="1"/>
        <v>0</v>
      </c>
      <c r="O16" s="343">
        <f t="shared" si="1"/>
        <v>0</v>
      </c>
      <c r="P16" s="351">
        <f>SUM(D16:O16)</f>
        <v>0</v>
      </c>
      <c r="Q16" s="139"/>
      <c r="R16" s="140"/>
    </row>
    <row r="17" spans="2:18" ht="15.75" thickBot="1" x14ac:dyDescent="0.3">
      <c r="B17" s="265"/>
      <c r="C17" s="47" t="s">
        <v>359</v>
      </c>
      <c r="D17" s="500"/>
      <c r="E17" s="501"/>
      <c r="F17" s="501"/>
      <c r="G17" s="501"/>
      <c r="H17" s="501"/>
      <c r="I17" s="501"/>
      <c r="J17" s="501"/>
      <c r="K17" s="501"/>
      <c r="L17" s="501"/>
      <c r="M17" s="501"/>
      <c r="N17" s="501"/>
      <c r="O17" s="501"/>
      <c r="P17" s="350" t="e">
        <f>P16/b_2022</f>
        <v>#DIV/0!</v>
      </c>
      <c r="Q17" s="141"/>
      <c r="R17" s="142"/>
    </row>
    <row r="18" spans="2:18" x14ac:dyDescent="0.25">
      <c r="B18" s="256">
        <f>ÜLDANDMED!D11</f>
        <v>2023</v>
      </c>
      <c r="C18" s="263" t="s">
        <v>366</v>
      </c>
      <c r="D18" s="332"/>
      <c r="E18" s="332"/>
      <c r="F18" s="332"/>
      <c r="G18" s="332"/>
      <c r="H18" s="332"/>
      <c r="I18" s="332"/>
      <c r="J18" s="332"/>
      <c r="K18" s="332"/>
      <c r="L18" s="332"/>
      <c r="M18" s="332"/>
      <c r="N18" s="332"/>
      <c r="O18" s="332"/>
      <c r="P18" s="352">
        <f t="shared" ref="P18" si="2">SUM(D18:O18)</f>
        <v>0</v>
      </c>
      <c r="Q18" s="337"/>
      <c r="R18" s="138"/>
    </row>
    <row r="19" spans="2:18" x14ac:dyDescent="0.25">
      <c r="B19" s="264"/>
      <c r="C19" s="47" t="s">
        <v>27</v>
      </c>
      <c r="D19" s="333"/>
      <c r="E19" s="334"/>
      <c r="F19" s="334"/>
      <c r="G19" s="334"/>
      <c r="H19" s="335"/>
      <c r="I19" s="335"/>
      <c r="J19" s="334"/>
      <c r="K19" s="334"/>
      <c r="L19" s="334"/>
      <c r="M19" s="334"/>
      <c r="N19" s="334"/>
      <c r="O19" s="336"/>
      <c r="P19" s="350" t="e">
        <f>AVERAGE(D19:O19)</f>
        <v>#DIV/0!</v>
      </c>
      <c r="Q19" s="139"/>
      <c r="R19" s="140"/>
    </row>
    <row r="20" spans="2:18" x14ac:dyDescent="0.25">
      <c r="B20" s="264"/>
      <c r="C20" s="46" t="s">
        <v>28</v>
      </c>
      <c r="D20" s="344">
        <f>(kodukontor_elekter+kodukontor_valgustus)*160*ELEKTER!D19/1000</f>
        <v>0</v>
      </c>
      <c r="E20" s="341">
        <f>(kodukontor_elekter+kodukontor_valgustus)*160*ELEKTER!E19/1000</f>
        <v>0</v>
      </c>
      <c r="F20" s="341">
        <f>(kodukontor_elekter+kodukontor_valgustus)*160*ELEKTER!F19/1000</f>
        <v>0</v>
      </c>
      <c r="G20" s="341">
        <f>(kodukontor_elekter+kodukontor_valgustus)*160*ELEKTER!G19/1000</f>
        <v>0</v>
      </c>
      <c r="H20" s="341">
        <f>(kodukontor_elekter+kodukontor_valgustus)*160*ELEKTER!H19/1000</f>
        <v>0</v>
      </c>
      <c r="I20" s="341">
        <f>(kodukontor_elekter+kodukontor_valgustus)*160*ELEKTER!I19/1000</f>
        <v>0</v>
      </c>
      <c r="J20" s="341">
        <f>(kodukontor_elekter+kodukontor_valgustus)*160*ELEKTER!J19/1000</f>
        <v>0</v>
      </c>
      <c r="K20" s="341">
        <f>(kodukontor_elekter+kodukontor_valgustus)*160*ELEKTER!K19/1000</f>
        <v>0</v>
      </c>
      <c r="L20" s="341">
        <f>(kodukontor_elekter+kodukontor_valgustus)*160*ELEKTER!L19/1000</f>
        <v>0</v>
      </c>
      <c r="M20" s="341">
        <f>(kodukontor_elekter+kodukontor_valgustus)*160*ELEKTER!M19/1000</f>
        <v>0</v>
      </c>
      <c r="N20" s="341">
        <f>(kodukontor_elekter+kodukontor_valgustus)*160*ELEKTER!N19/1000</f>
        <v>0</v>
      </c>
      <c r="O20" s="342">
        <f>(kodukontor_elekter+kodukontor_valgustus)*160*ELEKTER!O19/1000</f>
        <v>0</v>
      </c>
      <c r="P20" s="350">
        <f>SUM(D20:O20)</f>
        <v>0</v>
      </c>
      <c r="Q20" s="139"/>
      <c r="R20" s="338"/>
    </row>
    <row r="21" spans="2:18" x14ac:dyDescent="0.25">
      <c r="B21" s="257"/>
      <c r="C21" s="46" t="s">
        <v>29</v>
      </c>
      <c r="D21" s="345">
        <f>SUM(D18,D20)</f>
        <v>0</v>
      </c>
      <c r="E21" s="346">
        <f t="shared" ref="E21:O21" si="3">SUM(E18,E20)</f>
        <v>0</v>
      </c>
      <c r="F21" s="346">
        <f t="shared" si="3"/>
        <v>0</v>
      </c>
      <c r="G21" s="346">
        <f t="shared" si="3"/>
        <v>0</v>
      </c>
      <c r="H21" s="346">
        <f t="shared" si="3"/>
        <v>0</v>
      </c>
      <c r="I21" s="346">
        <f t="shared" si="3"/>
        <v>0</v>
      </c>
      <c r="J21" s="346">
        <f t="shared" si="3"/>
        <v>0</v>
      </c>
      <c r="K21" s="346">
        <f t="shared" si="3"/>
        <v>0</v>
      </c>
      <c r="L21" s="346">
        <f t="shared" si="3"/>
        <v>0</v>
      </c>
      <c r="M21" s="346">
        <f t="shared" si="3"/>
        <v>0</v>
      </c>
      <c r="N21" s="346">
        <f t="shared" si="3"/>
        <v>0</v>
      </c>
      <c r="O21" s="347">
        <f t="shared" si="3"/>
        <v>0</v>
      </c>
      <c r="P21" s="350">
        <f>SUM(D21:O21)</f>
        <v>0</v>
      </c>
      <c r="Q21" s="139"/>
      <c r="R21" s="140"/>
    </row>
    <row r="22" spans="2:18" ht="15.75" thickBot="1" x14ac:dyDescent="0.3">
      <c r="B22" s="257"/>
      <c r="C22" s="47" t="s">
        <v>359</v>
      </c>
      <c r="D22" s="502"/>
      <c r="E22" s="503"/>
      <c r="F22" s="503"/>
      <c r="G22" s="503"/>
      <c r="H22" s="503"/>
      <c r="I22" s="503"/>
      <c r="J22" s="503"/>
      <c r="K22" s="503"/>
      <c r="L22" s="503"/>
      <c r="M22" s="503"/>
      <c r="N22" s="503"/>
      <c r="O22" s="503"/>
      <c r="P22" s="350" t="e">
        <f>P21/b_2023</f>
        <v>#DIV/0!</v>
      </c>
      <c r="Q22" s="143"/>
      <c r="R22" s="144"/>
    </row>
    <row r="23" spans="2:18" x14ac:dyDescent="0.25">
      <c r="B23" s="256">
        <f>ÜLDANDMED!E11</f>
        <v>2024</v>
      </c>
      <c r="C23" s="263" t="s">
        <v>366</v>
      </c>
      <c r="D23" s="332"/>
      <c r="E23" s="332"/>
      <c r="F23" s="332"/>
      <c r="G23" s="332"/>
      <c r="H23" s="332"/>
      <c r="I23" s="332"/>
      <c r="J23" s="332"/>
      <c r="K23" s="332"/>
      <c r="L23" s="332"/>
      <c r="M23" s="332"/>
      <c r="N23" s="332"/>
      <c r="O23" s="332"/>
      <c r="P23" s="351">
        <f t="shared" si="0"/>
        <v>0</v>
      </c>
      <c r="Q23" s="339"/>
      <c r="R23" s="145"/>
    </row>
    <row r="24" spans="2:18" x14ac:dyDescent="0.25">
      <c r="B24" s="264"/>
      <c r="C24" s="47" t="s">
        <v>27</v>
      </c>
      <c r="D24" s="333"/>
      <c r="E24" s="334"/>
      <c r="F24" s="334"/>
      <c r="G24" s="334"/>
      <c r="H24" s="335"/>
      <c r="I24" s="335"/>
      <c r="J24" s="334"/>
      <c r="K24" s="334"/>
      <c r="L24" s="334"/>
      <c r="M24" s="334"/>
      <c r="N24" s="334"/>
      <c r="O24" s="336"/>
      <c r="P24" s="350" t="e">
        <f>AVERAGE(D24:O24)</f>
        <v>#DIV/0!</v>
      </c>
      <c r="Q24" s="139"/>
      <c r="R24" s="140"/>
    </row>
    <row r="25" spans="2:18" x14ac:dyDescent="0.25">
      <c r="B25" s="264"/>
      <c r="C25" s="46" t="s">
        <v>28</v>
      </c>
      <c r="D25" s="344">
        <f>(kodukontor_elekter+kodukontor_valgustus)*160*ELEKTER!D24/1000</f>
        <v>0</v>
      </c>
      <c r="E25" s="341">
        <f>(kodukontor_elekter+kodukontor_valgustus)*160*ELEKTER!E24/1000</f>
        <v>0</v>
      </c>
      <c r="F25" s="341">
        <f>(kodukontor_elekter+kodukontor_valgustus)*160*ELEKTER!F24/1000</f>
        <v>0</v>
      </c>
      <c r="G25" s="341">
        <f>(kodukontor_elekter+kodukontor_valgustus)*160*ELEKTER!G24/1000</f>
        <v>0</v>
      </c>
      <c r="H25" s="341">
        <f>(kodukontor_elekter+kodukontor_valgustus)*160*ELEKTER!H24/1000</f>
        <v>0</v>
      </c>
      <c r="I25" s="341">
        <f>(kodukontor_elekter+kodukontor_valgustus)*160*ELEKTER!I24/1000</f>
        <v>0</v>
      </c>
      <c r="J25" s="341">
        <f>(kodukontor_elekter+kodukontor_valgustus)*160*ELEKTER!J24/1000</f>
        <v>0</v>
      </c>
      <c r="K25" s="341">
        <f>(kodukontor_elekter+kodukontor_valgustus)*160*ELEKTER!K24/1000</f>
        <v>0</v>
      </c>
      <c r="L25" s="341">
        <f>(kodukontor_elekter+kodukontor_valgustus)*160*ELEKTER!L24/1000</f>
        <v>0</v>
      </c>
      <c r="M25" s="341">
        <f>(kodukontor_elekter+kodukontor_valgustus)*160*ELEKTER!M24/1000</f>
        <v>0</v>
      </c>
      <c r="N25" s="341">
        <f>(kodukontor_elekter+kodukontor_valgustus)*160*ELEKTER!N24/1000</f>
        <v>0</v>
      </c>
      <c r="O25" s="342">
        <f>(kodukontor_elekter+kodukontor_valgustus)*160*ELEKTER!O24/1000</f>
        <v>0</v>
      </c>
      <c r="P25" s="350">
        <f>SUM(D25:O25)</f>
        <v>0</v>
      </c>
      <c r="Q25" s="139"/>
      <c r="R25" s="338"/>
    </row>
    <row r="26" spans="2:18" x14ac:dyDescent="0.25">
      <c r="B26" s="257"/>
      <c r="C26" s="46" t="s">
        <v>29</v>
      </c>
      <c r="D26" s="348">
        <f>SUM(D23,D25)</f>
        <v>0</v>
      </c>
      <c r="E26" s="348">
        <f t="shared" ref="E26:O26" si="4">SUM(E23,E25)</f>
        <v>0</v>
      </c>
      <c r="F26" s="348">
        <f t="shared" si="4"/>
        <v>0</v>
      </c>
      <c r="G26" s="348">
        <f t="shared" si="4"/>
        <v>0</v>
      </c>
      <c r="H26" s="348">
        <f t="shared" si="4"/>
        <v>0</v>
      </c>
      <c r="I26" s="348">
        <f t="shared" si="4"/>
        <v>0</v>
      </c>
      <c r="J26" s="348">
        <f t="shared" si="4"/>
        <v>0</v>
      </c>
      <c r="K26" s="348">
        <f t="shared" si="4"/>
        <v>0</v>
      </c>
      <c r="L26" s="348">
        <f t="shared" si="4"/>
        <v>0</v>
      </c>
      <c r="M26" s="348">
        <f t="shared" si="4"/>
        <v>0</v>
      </c>
      <c r="N26" s="348">
        <f t="shared" si="4"/>
        <v>0</v>
      </c>
      <c r="O26" s="348">
        <f t="shared" si="4"/>
        <v>0</v>
      </c>
      <c r="P26" s="350">
        <f t="shared" si="0"/>
        <v>0</v>
      </c>
      <c r="Q26" s="139"/>
      <c r="R26" s="140"/>
    </row>
    <row r="27" spans="2:18" ht="15.75" thickBot="1" x14ac:dyDescent="0.3">
      <c r="B27" s="257"/>
      <c r="C27" s="47" t="s">
        <v>359</v>
      </c>
      <c r="D27" s="500"/>
      <c r="E27" s="501"/>
      <c r="F27" s="501"/>
      <c r="G27" s="501"/>
      <c r="H27" s="501"/>
      <c r="I27" s="501"/>
      <c r="J27" s="501"/>
      <c r="K27" s="501"/>
      <c r="L27" s="501"/>
      <c r="M27" s="501"/>
      <c r="N27" s="501"/>
      <c r="O27" s="504"/>
      <c r="P27" s="350" t="e">
        <f>P26/b_2024</f>
        <v>#DIV/0!</v>
      </c>
      <c r="Q27" s="141"/>
      <c r="R27" s="142"/>
    </row>
    <row r="28" spans="2:18" x14ac:dyDescent="0.25">
      <c r="B28" s="256">
        <f>ÜLDANDMED!F11</f>
        <v>2025</v>
      </c>
      <c r="C28" s="263" t="s">
        <v>366</v>
      </c>
      <c r="D28" s="332"/>
      <c r="E28" s="332"/>
      <c r="F28" s="332"/>
      <c r="G28" s="332"/>
      <c r="H28" s="332"/>
      <c r="I28" s="332"/>
      <c r="J28" s="332"/>
      <c r="K28" s="332"/>
      <c r="L28" s="332"/>
      <c r="M28" s="332"/>
      <c r="N28" s="332"/>
      <c r="O28" s="332"/>
      <c r="P28" s="352">
        <f t="shared" si="0"/>
        <v>0</v>
      </c>
      <c r="Q28" s="337"/>
      <c r="R28" s="138"/>
    </row>
    <row r="29" spans="2:18" x14ac:dyDescent="0.25">
      <c r="B29" s="264"/>
      <c r="C29" s="47" t="s">
        <v>27</v>
      </c>
      <c r="D29" s="333"/>
      <c r="E29" s="334"/>
      <c r="F29" s="334"/>
      <c r="G29" s="334"/>
      <c r="H29" s="335"/>
      <c r="I29" s="335"/>
      <c r="J29" s="334"/>
      <c r="K29" s="334"/>
      <c r="L29" s="334"/>
      <c r="M29" s="334"/>
      <c r="N29" s="334"/>
      <c r="O29" s="336"/>
      <c r="P29" s="350" t="e">
        <f>AVERAGE(D29:O29)</f>
        <v>#DIV/0!</v>
      </c>
      <c r="Q29" s="139"/>
      <c r="R29" s="140"/>
    </row>
    <row r="30" spans="2:18" x14ac:dyDescent="0.25">
      <c r="B30" s="264"/>
      <c r="C30" s="46" t="s">
        <v>28</v>
      </c>
      <c r="D30" s="344">
        <f>(kodukontor_elekter+kodukontor_valgustus)*160*ELEKTER!D29/1000</f>
        <v>0</v>
      </c>
      <c r="E30" s="341">
        <f>(kodukontor_elekter+kodukontor_valgustus)*160*ELEKTER!E29/1000</f>
        <v>0</v>
      </c>
      <c r="F30" s="341">
        <f>(kodukontor_elekter+kodukontor_valgustus)*160*ELEKTER!F29/1000</f>
        <v>0</v>
      </c>
      <c r="G30" s="341">
        <f>(kodukontor_elekter+kodukontor_valgustus)*160*ELEKTER!G29/1000</f>
        <v>0</v>
      </c>
      <c r="H30" s="341">
        <f>(kodukontor_elekter+kodukontor_valgustus)*160*ELEKTER!H29/1000</f>
        <v>0</v>
      </c>
      <c r="I30" s="341">
        <f>(kodukontor_elekter+kodukontor_valgustus)*160*ELEKTER!I29/1000</f>
        <v>0</v>
      </c>
      <c r="J30" s="341">
        <f>(kodukontor_elekter+kodukontor_valgustus)*160*ELEKTER!J29/1000</f>
        <v>0</v>
      </c>
      <c r="K30" s="341">
        <f>(kodukontor_elekter+kodukontor_valgustus)*160*ELEKTER!K29/1000</f>
        <v>0</v>
      </c>
      <c r="L30" s="341">
        <f>(kodukontor_elekter+kodukontor_valgustus)*160*ELEKTER!L29/1000</f>
        <v>0</v>
      </c>
      <c r="M30" s="341">
        <f>(kodukontor_elekter+kodukontor_valgustus)*160*ELEKTER!M29/1000</f>
        <v>0</v>
      </c>
      <c r="N30" s="341">
        <f>(kodukontor_elekter+kodukontor_valgustus)*160*ELEKTER!N29/1000</f>
        <v>0</v>
      </c>
      <c r="O30" s="342">
        <f>(kodukontor_elekter+kodukontor_valgustus)*160*ELEKTER!O29/1000</f>
        <v>0</v>
      </c>
      <c r="P30" s="350">
        <f>SUM(D30:O30)</f>
        <v>0</v>
      </c>
      <c r="Q30" s="139"/>
      <c r="R30" s="338"/>
    </row>
    <row r="31" spans="2:18" x14ac:dyDescent="0.25">
      <c r="B31" s="257"/>
      <c r="C31" s="46" t="s">
        <v>29</v>
      </c>
      <c r="D31" s="348">
        <f>SUM(D28,D30)</f>
        <v>0</v>
      </c>
      <c r="E31" s="348">
        <f t="shared" ref="E31:O31" si="5">SUM(E28,E30)</f>
        <v>0</v>
      </c>
      <c r="F31" s="348">
        <f t="shared" si="5"/>
        <v>0</v>
      </c>
      <c r="G31" s="348">
        <f t="shared" si="5"/>
        <v>0</v>
      </c>
      <c r="H31" s="348">
        <f t="shared" si="5"/>
        <v>0</v>
      </c>
      <c r="I31" s="348">
        <f t="shared" si="5"/>
        <v>0</v>
      </c>
      <c r="J31" s="348">
        <f t="shared" si="5"/>
        <v>0</v>
      </c>
      <c r="K31" s="348">
        <f t="shared" si="5"/>
        <v>0</v>
      </c>
      <c r="L31" s="348">
        <f t="shared" si="5"/>
        <v>0</v>
      </c>
      <c r="M31" s="348">
        <f t="shared" si="5"/>
        <v>0</v>
      </c>
      <c r="N31" s="348">
        <f t="shared" si="5"/>
        <v>0</v>
      </c>
      <c r="O31" s="348">
        <f t="shared" si="5"/>
        <v>0</v>
      </c>
      <c r="P31" s="350">
        <f t="shared" si="0"/>
        <v>0</v>
      </c>
      <c r="Q31" s="139"/>
      <c r="R31" s="140"/>
    </row>
    <row r="32" spans="2:18" ht="15.75" thickBot="1" x14ac:dyDescent="0.3">
      <c r="B32" s="257"/>
      <c r="C32" s="47" t="s">
        <v>359</v>
      </c>
      <c r="D32" s="500"/>
      <c r="E32" s="501"/>
      <c r="F32" s="501"/>
      <c r="G32" s="501"/>
      <c r="H32" s="501"/>
      <c r="I32" s="501"/>
      <c r="J32" s="501"/>
      <c r="K32" s="501"/>
      <c r="L32" s="501"/>
      <c r="M32" s="501"/>
      <c r="N32" s="501"/>
      <c r="O32" s="504"/>
      <c r="P32" s="350" t="e">
        <f>P31/b_2025</f>
        <v>#DIV/0!</v>
      </c>
      <c r="Q32" s="143"/>
      <c r="R32" s="144"/>
    </row>
    <row r="33" spans="2:18" x14ac:dyDescent="0.25">
      <c r="B33" s="256">
        <f>ÜLDANDMED!G11</f>
        <v>2026</v>
      </c>
      <c r="C33" s="263" t="s">
        <v>366</v>
      </c>
      <c r="D33" s="332"/>
      <c r="E33" s="332"/>
      <c r="F33" s="332"/>
      <c r="G33" s="332"/>
      <c r="H33" s="332"/>
      <c r="I33" s="332"/>
      <c r="J33" s="332"/>
      <c r="K33" s="332"/>
      <c r="L33" s="332"/>
      <c r="M33" s="332"/>
      <c r="N33" s="332"/>
      <c r="O33" s="332"/>
      <c r="P33" s="352">
        <f t="shared" si="0"/>
        <v>0</v>
      </c>
      <c r="Q33" s="339"/>
      <c r="R33" s="145"/>
    </row>
    <row r="34" spans="2:18" x14ac:dyDescent="0.25">
      <c r="B34" s="264"/>
      <c r="C34" s="47" t="s">
        <v>27</v>
      </c>
      <c r="D34" s="333"/>
      <c r="E34" s="334"/>
      <c r="F34" s="334"/>
      <c r="G34" s="334"/>
      <c r="H34" s="335"/>
      <c r="I34" s="335"/>
      <c r="J34" s="334"/>
      <c r="K34" s="334"/>
      <c r="L34" s="334"/>
      <c r="M34" s="334"/>
      <c r="N34" s="334"/>
      <c r="O34" s="336"/>
      <c r="P34" s="350" t="e">
        <f>AVERAGE(D34:O34)</f>
        <v>#DIV/0!</v>
      </c>
      <c r="Q34" s="139"/>
      <c r="R34" s="140"/>
    </row>
    <row r="35" spans="2:18" x14ac:dyDescent="0.25">
      <c r="B35" s="264"/>
      <c r="C35" s="46" t="s">
        <v>28</v>
      </c>
      <c r="D35" s="344">
        <f>(kodukontor_elekter+kodukontor_valgustus)*160*ELEKTER!D34/1000</f>
        <v>0</v>
      </c>
      <c r="E35" s="341">
        <f>(kodukontor_elekter+kodukontor_valgustus)*160*ELEKTER!E34/1000</f>
        <v>0</v>
      </c>
      <c r="F35" s="341">
        <f>(kodukontor_elekter+kodukontor_valgustus)*160*ELEKTER!F34/1000</f>
        <v>0</v>
      </c>
      <c r="G35" s="341">
        <f>(kodukontor_elekter+kodukontor_valgustus)*160*ELEKTER!G34/1000</f>
        <v>0</v>
      </c>
      <c r="H35" s="341">
        <f>(kodukontor_elekter+kodukontor_valgustus)*160*ELEKTER!H34/1000</f>
        <v>0</v>
      </c>
      <c r="I35" s="341">
        <f>(kodukontor_elekter+kodukontor_valgustus)*160*ELEKTER!I34/1000</f>
        <v>0</v>
      </c>
      <c r="J35" s="341">
        <f>(kodukontor_elekter+kodukontor_valgustus)*160*ELEKTER!J34/1000</f>
        <v>0</v>
      </c>
      <c r="K35" s="341">
        <f>(kodukontor_elekter+kodukontor_valgustus)*160*ELEKTER!K34/1000</f>
        <v>0</v>
      </c>
      <c r="L35" s="341">
        <f>(kodukontor_elekter+kodukontor_valgustus)*160*ELEKTER!L34/1000</f>
        <v>0</v>
      </c>
      <c r="M35" s="341">
        <f>(kodukontor_elekter+kodukontor_valgustus)*160*ELEKTER!M34/1000</f>
        <v>0</v>
      </c>
      <c r="N35" s="341">
        <f>(kodukontor_elekter+kodukontor_valgustus)*160*ELEKTER!N34/1000</f>
        <v>0</v>
      </c>
      <c r="O35" s="342">
        <f>(kodukontor_elekter+kodukontor_valgustus)*160*ELEKTER!O34/1000</f>
        <v>0</v>
      </c>
      <c r="P35" s="350">
        <f>SUM(D35:O35)</f>
        <v>0</v>
      </c>
      <c r="Q35" s="139"/>
      <c r="R35" s="338"/>
    </row>
    <row r="36" spans="2:18" x14ac:dyDescent="0.25">
      <c r="B36" s="257"/>
      <c r="C36" s="46" t="s">
        <v>29</v>
      </c>
      <c r="D36" s="348">
        <f>SUM(D33,D35)</f>
        <v>0</v>
      </c>
      <c r="E36" s="348">
        <f t="shared" ref="E36:O36" si="6">SUM(E33,E35)</f>
        <v>0</v>
      </c>
      <c r="F36" s="348">
        <f t="shared" si="6"/>
        <v>0</v>
      </c>
      <c r="G36" s="348">
        <f t="shared" si="6"/>
        <v>0</v>
      </c>
      <c r="H36" s="348">
        <f t="shared" si="6"/>
        <v>0</v>
      </c>
      <c r="I36" s="348">
        <f t="shared" si="6"/>
        <v>0</v>
      </c>
      <c r="J36" s="348">
        <f t="shared" si="6"/>
        <v>0</v>
      </c>
      <c r="K36" s="348">
        <f t="shared" si="6"/>
        <v>0</v>
      </c>
      <c r="L36" s="348">
        <f t="shared" si="6"/>
        <v>0</v>
      </c>
      <c r="M36" s="348">
        <f t="shared" si="6"/>
        <v>0</v>
      </c>
      <c r="N36" s="348">
        <f t="shared" si="6"/>
        <v>0</v>
      </c>
      <c r="O36" s="348">
        <f t="shared" si="6"/>
        <v>0</v>
      </c>
      <c r="P36" s="350">
        <f t="shared" si="0"/>
        <v>0</v>
      </c>
      <c r="Q36" s="139"/>
      <c r="R36" s="140"/>
    </row>
    <row r="37" spans="2:18" ht="15.75" thickBot="1" x14ac:dyDescent="0.3">
      <c r="B37" s="257"/>
      <c r="C37" s="47" t="s">
        <v>359</v>
      </c>
      <c r="D37" s="500"/>
      <c r="E37" s="501"/>
      <c r="F37" s="501"/>
      <c r="G37" s="501"/>
      <c r="H37" s="501"/>
      <c r="I37" s="501"/>
      <c r="J37" s="501"/>
      <c r="K37" s="501"/>
      <c r="L37" s="501"/>
      <c r="M37" s="501"/>
      <c r="N37" s="501"/>
      <c r="O37" s="504"/>
      <c r="P37" s="350" t="e">
        <f>P36/b_2026</f>
        <v>#DIV/0!</v>
      </c>
      <c r="Q37" s="141"/>
      <c r="R37" s="142"/>
    </row>
    <row r="38" spans="2:18" x14ac:dyDescent="0.25">
      <c r="B38" s="256">
        <f>ÜLDANDMED!H11</f>
        <v>2027</v>
      </c>
      <c r="C38" s="263" t="s">
        <v>366</v>
      </c>
      <c r="D38" s="332"/>
      <c r="E38" s="332"/>
      <c r="F38" s="332"/>
      <c r="G38" s="332"/>
      <c r="H38" s="332"/>
      <c r="I38" s="332"/>
      <c r="J38" s="332"/>
      <c r="K38" s="332"/>
      <c r="L38" s="332"/>
      <c r="M38" s="332"/>
      <c r="N38" s="332"/>
      <c r="O38" s="332"/>
      <c r="P38" s="352">
        <f t="shared" si="0"/>
        <v>0</v>
      </c>
      <c r="Q38" s="337"/>
      <c r="R38" s="138"/>
    </row>
    <row r="39" spans="2:18" x14ac:dyDescent="0.25">
      <c r="B39" s="264"/>
      <c r="C39" s="47" t="s">
        <v>27</v>
      </c>
      <c r="D39" s="333"/>
      <c r="E39" s="334"/>
      <c r="F39" s="334"/>
      <c r="G39" s="334"/>
      <c r="H39" s="335"/>
      <c r="I39" s="335"/>
      <c r="J39" s="334"/>
      <c r="K39" s="334"/>
      <c r="L39" s="334"/>
      <c r="M39" s="334"/>
      <c r="N39" s="334"/>
      <c r="O39" s="336"/>
      <c r="P39" s="350" t="e">
        <f>AVERAGE(D39:O39)</f>
        <v>#DIV/0!</v>
      </c>
      <c r="Q39" s="139"/>
      <c r="R39" s="140"/>
    </row>
    <row r="40" spans="2:18" x14ac:dyDescent="0.25">
      <c r="B40" s="264"/>
      <c r="C40" s="46" t="s">
        <v>28</v>
      </c>
      <c r="D40" s="344">
        <f>(kodukontor_elekter+kodukontor_valgustus)*160*ELEKTER!D39/1000</f>
        <v>0</v>
      </c>
      <c r="E40" s="341">
        <f>(kodukontor_elekter+kodukontor_valgustus)*160*ELEKTER!E39/1000</f>
        <v>0</v>
      </c>
      <c r="F40" s="341">
        <f>(kodukontor_elekter+kodukontor_valgustus)*160*ELEKTER!F39/1000</f>
        <v>0</v>
      </c>
      <c r="G40" s="341">
        <f>(kodukontor_elekter+kodukontor_valgustus)*160*ELEKTER!G39/1000</f>
        <v>0</v>
      </c>
      <c r="H40" s="341">
        <f>(kodukontor_elekter+kodukontor_valgustus)*160*ELEKTER!H39/1000</f>
        <v>0</v>
      </c>
      <c r="I40" s="341">
        <f>(kodukontor_elekter+kodukontor_valgustus)*160*ELEKTER!I39/1000</f>
        <v>0</v>
      </c>
      <c r="J40" s="341">
        <f>(kodukontor_elekter+kodukontor_valgustus)*160*ELEKTER!J39/1000</f>
        <v>0</v>
      </c>
      <c r="K40" s="341">
        <f>(kodukontor_elekter+kodukontor_valgustus)*160*ELEKTER!K39/1000</f>
        <v>0</v>
      </c>
      <c r="L40" s="341">
        <f>(kodukontor_elekter+kodukontor_valgustus)*160*ELEKTER!L39/1000</f>
        <v>0</v>
      </c>
      <c r="M40" s="341">
        <f>(kodukontor_elekter+kodukontor_valgustus)*160*ELEKTER!M39/1000</f>
        <v>0</v>
      </c>
      <c r="N40" s="341">
        <f>(kodukontor_elekter+kodukontor_valgustus)*160*ELEKTER!N39/1000</f>
        <v>0</v>
      </c>
      <c r="O40" s="342">
        <f>(kodukontor_elekter+kodukontor_valgustus)*160*ELEKTER!O39/1000</f>
        <v>0</v>
      </c>
      <c r="P40" s="350">
        <f>SUM(D40:O40)</f>
        <v>0</v>
      </c>
      <c r="Q40" s="139"/>
      <c r="R40" s="338"/>
    </row>
    <row r="41" spans="2:18" x14ac:dyDescent="0.25">
      <c r="B41" s="257"/>
      <c r="C41" s="46" t="s">
        <v>29</v>
      </c>
      <c r="D41" s="348">
        <f>SUM(D38,D40)</f>
        <v>0</v>
      </c>
      <c r="E41" s="348">
        <f t="shared" ref="E41:O41" si="7">SUM(E38,E40)</f>
        <v>0</v>
      </c>
      <c r="F41" s="348">
        <f t="shared" si="7"/>
        <v>0</v>
      </c>
      <c r="G41" s="348">
        <f t="shared" si="7"/>
        <v>0</v>
      </c>
      <c r="H41" s="348">
        <f t="shared" si="7"/>
        <v>0</v>
      </c>
      <c r="I41" s="348">
        <f t="shared" si="7"/>
        <v>0</v>
      </c>
      <c r="J41" s="348">
        <f t="shared" si="7"/>
        <v>0</v>
      </c>
      <c r="K41" s="348">
        <f t="shared" si="7"/>
        <v>0</v>
      </c>
      <c r="L41" s="348">
        <f t="shared" si="7"/>
        <v>0</v>
      </c>
      <c r="M41" s="348">
        <f t="shared" si="7"/>
        <v>0</v>
      </c>
      <c r="N41" s="348">
        <f t="shared" si="7"/>
        <v>0</v>
      </c>
      <c r="O41" s="348">
        <f t="shared" si="7"/>
        <v>0</v>
      </c>
      <c r="P41" s="350">
        <f t="shared" si="0"/>
        <v>0</v>
      </c>
      <c r="Q41" s="139"/>
      <c r="R41" s="140"/>
    </row>
    <row r="42" spans="2:18" ht="15.75" thickBot="1" x14ac:dyDescent="0.3">
      <c r="B42" s="257"/>
      <c r="C42" s="47" t="s">
        <v>359</v>
      </c>
      <c r="D42" s="505"/>
      <c r="E42" s="506"/>
      <c r="F42" s="506"/>
      <c r="G42" s="506"/>
      <c r="H42" s="506"/>
      <c r="I42" s="506"/>
      <c r="J42" s="506"/>
      <c r="K42" s="506"/>
      <c r="L42" s="506"/>
      <c r="M42" s="506"/>
      <c r="N42" s="506"/>
      <c r="O42" s="507"/>
      <c r="P42" s="350" t="e">
        <f>P41/b_2027</f>
        <v>#DIV/0!</v>
      </c>
      <c r="Q42" s="143"/>
      <c r="R42" s="144"/>
    </row>
    <row r="43" spans="2:18" x14ac:dyDescent="0.25">
      <c r="B43" s="256">
        <f>ÜLDANDMED!I11</f>
        <v>2028</v>
      </c>
      <c r="C43" s="263" t="s">
        <v>366</v>
      </c>
      <c r="D43" s="332"/>
      <c r="E43" s="332"/>
      <c r="F43" s="332"/>
      <c r="G43" s="332"/>
      <c r="H43" s="332"/>
      <c r="I43" s="332"/>
      <c r="J43" s="332"/>
      <c r="K43" s="332"/>
      <c r="L43" s="332"/>
      <c r="M43" s="332"/>
      <c r="N43" s="332"/>
      <c r="O43" s="332"/>
      <c r="P43" s="352">
        <f t="shared" ref="P43:P46" si="8">SUM(D43:O43)</f>
        <v>0</v>
      </c>
      <c r="Q43" s="339"/>
      <c r="R43" s="145"/>
    </row>
    <row r="44" spans="2:18" x14ac:dyDescent="0.25">
      <c r="B44" s="264"/>
      <c r="C44" s="47" t="s">
        <v>27</v>
      </c>
      <c r="D44" s="333"/>
      <c r="E44" s="334"/>
      <c r="F44" s="334"/>
      <c r="G44" s="334"/>
      <c r="H44" s="335"/>
      <c r="I44" s="335"/>
      <c r="J44" s="334"/>
      <c r="K44" s="334"/>
      <c r="L44" s="334"/>
      <c r="M44" s="334"/>
      <c r="N44" s="334"/>
      <c r="O44" s="336"/>
      <c r="P44" s="350" t="e">
        <f>AVERAGE(D44:O44)</f>
        <v>#DIV/0!</v>
      </c>
      <c r="Q44" s="139"/>
      <c r="R44" s="140"/>
    </row>
    <row r="45" spans="2:18" x14ac:dyDescent="0.25">
      <c r="B45" s="264"/>
      <c r="C45" s="46" t="s">
        <v>28</v>
      </c>
      <c r="D45" s="344">
        <f>(kodukontor_elekter+kodukontor_valgustus)*160*ELEKTER!D44/1000</f>
        <v>0</v>
      </c>
      <c r="E45" s="341">
        <f>(kodukontor_elekter+kodukontor_valgustus)*160*ELEKTER!E44/1000</f>
        <v>0</v>
      </c>
      <c r="F45" s="341">
        <f>(kodukontor_elekter+kodukontor_valgustus)*160*ELEKTER!F44/1000</f>
        <v>0</v>
      </c>
      <c r="G45" s="341">
        <f>(kodukontor_elekter+kodukontor_valgustus)*160*ELEKTER!G44/1000</f>
        <v>0</v>
      </c>
      <c r="H45" s="341">
        <f>(kodukontor_elekter+kodukontor_valgustus)*160*ELEKTER!H44/1000</f>
        <v>0</v>
      </c>
      <c r="I45" s="341">
        <f>(kodukontor_elekter+kodukontor_valgustus)*160*ELEKTER!I44/1000</f>
        <v>0</v>
      </c>
      <c r="J45" s="341">
        <f>(kodukontor_elekter+kodukontor_valgustus)*160*ELEKTER!J44/1000</f>
        <v>0</v>
      </c>
      <c r="K45" s="341">
        <f>(kodukontor_elekter+kodukontor_valgustus)*160*ELEKTER!K44/1000</f>
        <v>0</v>
      </c>
      <c r="L45" s="341">
        <f>(kodukontor_elekter+kodukontor_valgustus)*160*ELEKTER!L44/1000</f>
        <v>0</v>
      </c>
      <c r="M45" s="341">
        <f>(kodukontor_elekter+kodukontor_valgustus)*160*ELEKTER!M44/1000</f>
        <v>0</v>
      </c>
      <c r="N45" s="341">
        <f>(kodukontor_elekter+kodukontor_valgustus)*160*ELEKTER!N44/1000</f>
        <v>0</v>
      </c>
      <c r="O45" s="342">
        <f>(kodukontor_elekter+kodukontor_valgustus)*160*ELEKTER!O44/1000</f>
        <v>0</v>
      </c>
      <c r="P45" s="350">
        <f>SUM(D45:O45)</f>
        <v>0</v>
      </c>
      <c r="Q45" s="139"/>
      <c r="R45" s="338"/>
    </row>
    <row r="46" spans="2:18" x14ac:dyDescent="0.25">
      <c r="B46" s="257"/>
      <c r="C46" s="46" t="s">
        <v>29</v>
      </c>
      <c r="D46" s="348">
        <f>SUM(D43,D45)</f>
        <v>0</v>
      </c>
      <c r="E46" s="348">
        <f t="shared" ref="E46:O46" si="9">SUM(E43,E45)</f>
        <v>0</v>
      </c>
      <c r="F46" s="348">
        <f t="shared" si="9"/>
        <v>0</v>
      </c>
      <c r="G46" s="348">
        <f t="shared" si="9"/>
        <v>0</v>
      </c>
      <c r="H46" s="348">
        <f t="shared" si="9"/>
        <v>0</v>
      </c>
      <c r="I46" s="348">
        <f t="shared" si="9"/>
        <v>0</v>
      </c>
      <c r="J46" s="348">
        <f t="shared" si="9"/>
        <v>0</v>
      </c>
      <c r="K46" s="348">
        <f t="shared" si="9"/>
        <v>0</v>
      </c>
      <c r="L46" s="348">
        <f t="shared" si="9"/>
        <v>0</v>
      </c>
      <c r="M46" s="348">
        <f t="shared" si="9"/>
        <v>0</v>
      </c>
      <c r="N46" s="348">
        <f t="shared" si="9"/>
        <v>0</v>
      </c>
      <c r="O46" s="348">
        <f t="shared" si="9"/>
        <v>0</v>
      </c>
      <c r="P46" s="350">
        <f t="shared" si="8"/>
        <v>0</v>
      </c>
      <c r="Q46" s="139"/>
      <c r="R46" s="140"/>
    </row>
    <row r="47" spans="2:18" ht="15.75" thickBot="1" x14ac:dyDescent="0.3">
      <c r="B47" s="258"/>
      <c r="C47" s="47" t="s">
        <v>359</v>
      </c>
      <c r="D47" s="508"/>
      <c r="E47" s="503"/>
      <c r="F47" s="503"/>
      <c r="G47" s="503"/>
      <c r="H47" s="503"/>
      <c r="I47" s="503"/>
      <c r="J47" s="503"/>
      <c r="K47" s="503"/>
      <c r="L47" s="503"/>
      <c r="M47" s="503"/>
      <c r="N47" s="503"/>
      <c r="O47" s="509"/>
      <c r="P47" s="350" t="e">
        <f>P46/b_2028</f>
        <v>#DIV/0!</v>
      </c>
      <c r="Q47" s="143"/>
      <c r="R47" s="144"/>
    </row>
  </sheetData>
  <mergeCells count="19">
    <mergeCell ref="L11:L12"/>
    <mergeCell ref="M11:M12"/>
    <mergeCell ref="N11:N12"/>
    <mergeCell ref="B4:R4"/>
    <mergeCell ref="H11:H12"/>
    <mergeCell ref="I11:I12"/>
    <mergeCell ref="D11:D12"/>
    <mergeCell ref="E11:E12"/>
    <mergeCell ref="F11:F12"/>
    <mergeCell ref="G11:G12"/>
    <mergeCell ref="C11:C12"/>
    <mergeCell ref="O11:O12"/>
    <mergeCell ref="Q10:R10"/>
    <mergeCell ref="B6:C6"/>
    <mergeCell ref="Q11:R11"/>
    <mergeCell ref="B11:B12"/>
    <mergeCell ref="P11:P12"/>
    <mergeCell ref="J11:J12"/>
    <mergeCell ref="K11:K12"/>
  </mergeCells>
  <pageMargins left="0.70866141732283472" right="0.70866141732283472" top="0.74803149606299213" bottom="0.74803149606299213" header="0.31496062992125984" footer="0.31496062992125984"/>
  <pageSetup paperSize="9" scale="39" fitToHeight="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BA12"/>
    <pageSetUpPr fitToPage="1"/>
  </sheetPr>
  <dimension ref="A2:U56"/>
  <sheetViews>
    <sheetView showGridLines="0" zoomScaleNormal="100" workbookViewId="0">
      <pane xSplit="1" ySplit="2" topLeftCell="B4" activePane="bottomRight" state="frozen"/>
      <selection pane="topRight" activeCell="B1" sqref="B1"/>
      <selection pane="bottomLeft" activeCell="A3" sqref="A3"/>
      <selection pane="bottomRight" activeCell="D28" sqref="D28:O28"/>
    </sheetView>
  </sheetViews>
  <sheetFormatPr defaultRowHeight="15" x14ac:dyDescent="0.25"/>
  <cols>
    <col min="1" max="1" width="2.5703125" customWidth="1"/>
    <col min="2" max="2" width="7.5703125" customWidth="1"/>
    <col min="3" max="3" width="43" style="3" bestFit="1" customWidth="1"/>
    <col min="4" max="15" width="10.7109375" style="3" customWidth="1"/>
    <col min="16" max="16" width="15.7109375" style="55" customWidth="1"/>
    <col min="17" max="18" width="15.7109375" style="3" customWidth="1"/>
    <col min="19" max="19" width="15.7109375" style="63" customWidth="1"/>
  </cols>
  <sheetData>
    <row r="2" spans="1:21" ht="18.75" x14ac:dyDescent="0.3">
      <c r="B2" s="32" t="s">
        <v>30</v>
      </c>
    </row>
    <row r="3" spans="1:21" x14ac:dyDescent="0.25">
      <c r="A3" s="1"/>
      <c r="B3" s="100"/>
    </row>
    <row r="4" spans="1:21" ht="189" customHeight="1" x14ac:dyDescent="0.25">
      <c r="A4" s="1"/>
      <c r="B4" s="548" t="s">
        <v>396</v>
      </c>
      <c r="C4" s="555"/>
      <c r="D4" s="555"/>
      <c r="E4" s="555"/>
      <c r="F4" s="555"/>
      <c r="G4" s="555"/>
      <c r="H4" s="555"/>
      <c r="I4" s="555"/>
      <c r="J4" s="555"/>
      <c r="K4" s="555"/>
      <c r="L4" s="555"/>
      <c r="M4" s="555"/>
      <c r="N4" s="555"/>
      <c r="O4" s="555"/>
      <c r="P4" s="556"/>
      <c r="Q4"/>
      <c r="R4"/>
      <c r="S4"/>
    </row>
    <row r="5" spans="1:21" ht="15.75" x14ac:dyDescent="0.25">
      <c r="A5" s="1"/>
      <c r="B5" s="36"/>
      <c r="C5" s="43"/>
      <c r="D5" s="36"/>
      <c r="E5" s="36"/>
      <c r="F5" s="36"/>
      <c r="G5" s="36"/>
      <c r="H5" s="36"/>
      <c r="I5" s="36"/>
      <c r="Q5" s="43"/>
      <c r="R5" s="43"/>
      <c r="S5" s="64"/>
    </row>
    <row r="6" spans="1:21" ht="15.75" x14ac:dyDescent="0.25">
      <c r="A6" s="1"/>
      <c r="B6" s="567" t="s">
        <v>2</v>
      </c>
      <c r="C6" s="567"/>
      <c r="D6" s="30"/>
      <c r="E6" s="30"/>
      <c r="Q6" s="126"/>
      <c r="R6" s="126"/>
      <c r="S6" s="65"/>
      <c r="U6" s="33"/>
    </row>
    <row r="7" spans="1:21" ht="14.65" customHeight="1" x14ac:dyDescent="0.25">
      <c r="A7" s="1"/>
      <c r="C7" s="368" t="s">
        <v>3</v>
      </c>
      <c r="D7" s="30"/>
      <c r="E7" s="30"/>
      <c r="Q7"/>
      <c r="R7"/>
      <c r="S7" s="66"/>
    </row>
    <row r="8" spans="1:21" ht="14.65" customHeight="1" x14ac:dyDescent="0.25">
      <c r="A8" s="1"/>
      <c r="C8" s="357" t="s">
        <v>31</v>
      </c>
      <c r="D8" s="30"/>
      <c r="E8" s="30"/>
      <c r="P8" s="281"/>
      <c r="Q8"/>
      <c r="R8"/>
      <c r="S8" s="66"/>
    </row>
    <row r="9" spans="1:21" ht="14.65" customHeight="1" x14ac:dyDescent="0.25">
      <c r="A9" s="1"/>
      <c r="C9" s="364" t="s">
        <v>4</v>
      </c>
      <c r="D9" s="30"/>
      <c r="E9" s="30"/>
      <c r="Q9"/>
      <c r="R9"/>
      <c r="S9" s="66"/>
    </row>
    <row r="10" spans="1:21" s="19" customFormat="1" ht="14.65" customHeight="1" thickBot="1" x14ac:dyDescent="0.3">
      <c r="C10" s="150" t="s">
        <v>7</v>
      </c>
      <c r="F10" s="20"/>
      <c r="G10" s="20"/>
      <c r="H10" s="20"/>
      <c r="I10" s="20"/>
      <c r="J10" s="20"/>
      <c r="K10" s="20"/>
      <c r="L10" s="20"/>
      <c r="M10" s="20"/>
      <c r="N10" s="20"/>
      <c r="O10" s="51"/>
      <c r="P10" s="52"/>
      <c r="Q10"/>
      <c r="R10"/>
    </row>
    <row r="11" spans="1:21" ht="15.75" thickBot="1" x14ac:dyDescent="0.3">
      <c r="Q11" s="565" t="s">
        <v>8</v>
      </c>
      <c r="R11" s="576"/>
      <c r="S11" s="566"/>
    </row>
    <row r="12" spans="1:21" s="2" customFormat="1" ht="14.65" customHeight="1" x14ac:dyDescent="0.2">
      <c r="B12" s="591" t="s">
        <v>9</v>
      </c>
      <c r="C12" s="594" t="s">
        <v>10</v>
      </c>
      <c r="D12" s="585" t="s">
        <v>11</v>
      </c>
      <c r="E12" s="588" t="s">
        <v>12</v>
      </c>
      <c r="F12" s="588" t="s">
        <v>13</v>
      </c>
      <c r="G12" s="588" t="s">
        <v>14</v>
      </c>
      <c r="H12" s="588" t="s">
        <v>15</v>
      </c>
      <c r="I12" s="588" t="s">
        <v>16</v>
      </c>
      <c r="J12" s="588" t="s">
        <v>17</v>
      </c>
      <c r="K12" s="588" t="s">
        <v>18</v>
      </c>
      <c r="L12" s="588" t="s">
        <v>19</v>
      </c>
      <c r="M12" s="588" t="s">
        <v>20</v>
      </c>
      <c r="N12" s="588" t="s">
        <v>21</v>
      </c>
      <c r="O12" s="597" t="s">
        <v>22</v>
      </c>
      <c r="P12" s="591" t="s">
        <v>23</v>
      </c>
      <c r="Q12" s="579" t="s">
        <v>32</v>
      </c>
      <c r="R12" s="573" t="s">
        <v>33</v>
      </c>
      <c r="S12" s="582" t="s">
        <v>34</v>
      </c>
    </row>
    <row r="13" spans="1:21" s="2" customFormat="1" ht="14.65" customHeight="1" x14ac:dyDescent="0.2">
      <c r="B13" s="592"/>
      <c r="C13" s="595"/>
      <c r="D13" s="586"/>
      <c r="E13" s="589"/>
      <c r="F13" s="589"/>
      <c r="G13" s="589"/>
      <c r="H13" s="589"/>
      <c r="I13" s="589"/>
      <c r="J13" s="589"/>
      <c r="K13" s="589"/>
      <c r="L13" s="589"/>
      <c r="M13" s="589"/>
      <c r="N13" s="589"/>
      <c r="O13" s="598"/>
      <c r="P13" s="592"/>
      <c r="Q13" s="580"/>
      <c r="R13" s="574"/>
      <c r="S13" s="583"/>
    </row>
    <row r="14" spans="1:21" s="2" customFormat="1" ht="14.65" customHeight="1" x14ac:dyDescent="0.2">
      <c r="B14" s="592"/>
      <c r="C14" s="595"/>
      <c r="D14" s="586"/>
      <c r="E14" s="589"/>
      <c r="F14" s="589"/>
      <c r="G14" s="589"/>
      <c r="H14" s="589"/>
      <c r="I14" s="589"/>
      <c r="J14" s="589"/>
      <c r="K14" s="589"/>
      <c r="L14" s="589"/>
      <c r="M14" s="589"/>
      <c r="N14" s="589"/>
      <c r="O14" s="598"/>
      <c r="P14" s="592"/>
      <c r="Q14" s="580"/>
      <c r="R14" s="574"/>
      <c r="S14" s="583"/>
    </row>
    <row r="15" spans="1:21" ht="14.65" customHeight="1" thickBot="1" x14ac:dyDescent="0.3">
      <c r="B15" s="593"/>
      <c r="C15" s="596"/>
      <c r="D15" s="587"/>
      <c r="E15" s="590"/>
      <c r="F15" s="590"/>
      <c r="G15" s="590"/>
      <c r="H15" s="590"/>
      <c r="I15" s="590"/>
      <c r="J15" s="590"/>
      <c r="K15" s="590"/>
      <c r="L15" s="590"/>
      <c r="M15" s="590"/>
      <c r="N15" s="590"/>
      <c r="O15" s="599"/>
      <c r="P15" s="593"/>
      <c r="Q15" s="581"/>
      <c r="R15" s="575"/>
      <c r="S15" s="584"/>
    </row>
    <row r="16" spans="1:21" x14ac:dyDescent="0.25">
      <c r="B16" s="577">
        <f>ÜLDANDMED!C11</f>
        <v>2022</v>
      </c>
      <c r="C16" s="44" t="s">
        <v>367</v>
      </c>
      <c r="D16" s="361"/>
      <c r="E16" s="362"/>
      <c r="F16" s="362"/>
      <c r="G16" s="362"/>
      <c r="H16" s="362"/>
      <c r="I16" s="362"/>
      <c r="J16" s="362"/>
      <c r="K16" s="362"/>
      <c r="L16" s="362"/>
      <c r="M16" s="362"/>
      <c r="N16" s="362"/>
      <c r="O16" s="362"/>
      <c r="P16" s="365">
        <f>SUM(D16:O16)</f>
        <v>0</v>
      </c>
      <c r="Q16" s="358"/>
      <c r="R16" s="278" t="str">
        <f>IF(Q16="Tallinn",LOOKUP(Q16,'KHG eriheitetegurid'!$C$19,'KHG eriheitetegurid'!$D$19),IF(Q16="Tartu",LOOKUP(Q16,'KHG eriheitetegurid'!$C$28,'KHG eriheitetegurid'!$D$28),IF(Q16="Pärnu",LOOKUP(Q16,'KHG eriheitetegurid'!C37,'KHG eriheitetegurid'!D37),IF(OR(Q16="Muu",Q16=""),""))))</f>
        <v/>
      </c>
      <c r="S16" s="359"/>
      <c r="U16" s="49"/>
    </row>
    <row r="17" spans="2:19" ht="16.5" thickBot="1" x14ac:dyDescent="0.3">
      <c r="B17" s="578"/>
      <c r="C17" s="48" t="s">
        <v>35</v>
      </c>
      <c r="D17" s="363" t="e">
        <f t="shared" ref="D17:O17" si="0">D16/c_2022</f>
        <v>#DIV/0!</v>
      </c>
      <c r="E17" s="363" t="e">
        <f t="shared" si="0"/>
        <v>#DIV/0!</v>
      </c>
      <c r="F17" s="363" t="e">
        <f t="shared" si="0"/>
        <v>#DIV/0!</v>
      </c>
      <c r="G17" s="363" t="e">
        <f t="shared" si="0"/>
        <v>#DIV/0!</v>
      </c>
      <c r="H17" s="363" t="e">
        <f t="shared" si="0"/>
        <v>#DIV/0!</v>
      </c>
      <c r="I17" s="363" t="e">
        <f t="shared" si="0"/>
        <v>#DIV/0!</v>
      </c>
      <c r="J17" s="363" t="e">
        <f t="shared" si="0"/>
        <v>#DIV/0!</v>
      </c>
      <c r="K17" s="363" t="e">
        <f t="shared" si="0"/>
        <v>#DIV/0!</v>
      </c>
      <c r="L17" s="363" t="e">
        <f t="shared" si="0"/>
        <v>#DIV/0!</v>
      </c>
      <c r="M17" s="363" t="e">
        <f t="shared" si="0"/>
        <v>#DIV/0!</v>
      </c>
      <c r="N17" s="363" t="e">
        <f t="shared" si="0"/>
        <v>#DIV/0!</v>
      </c>
      <c r="O17" s="363" t="e">
        <f t="shared" si="0"/>
        <v>#DIV/0!</v>
      </c>
      <c r="P17" s="366" t="e">
        <f>SUM(D17:O17)</f>
        <v>#DIV/0!</v>
      </c>
      <c r="Q17" s="147"/>
      <c r="R17" s="149"/>
      <c r="S17" s="277"/>
    </row>
    <row r="18" spans="2:19" x14ac:dyDescent="0.25">
      <c r="B18" s="577">
        <f>ÜLDANDMED!D11</f>
        <v>2023</v>
      </c>
      <c r="C18" s="44" t="s">
        <v>367</v>
      </c>
      <c r="D18" s="361"/>
      <c r="E18" s="362"/>
      <c r="F18" s="362"/>
      <c r="G18" s="362"/>
      <c r="H18" s="362"/>
      <c r="I18" s="362"/>
      <c r="J18" s="362"/>
      <c r="K18" s="362"/>
      <c r="L18" s="362"/>
      <c r="M18" s="362"/>
      <c r="N18" s="362"/>
      <c r="O18" s="362"/>
      <c r="P18" s="365">
        <f t="shared" ref="P18:P27" si="1">SUM(D18:O18)</f>
        <v>0</v>
      </c>
      <c r="Q18" s="358"/>
      <c r="R18" s="278" t="str">
        <f>IF(Q18="Tallinn",LOOKUP(Q18,'KHG eriheitetegurid'!$C$20,'KHG eriheitetegurid'!$D$20),IF(Q18="Tartu",LOOKUP(Q18,'KHG eriheitetegurid'!$C$29,'KHG eriheitetegurid'!$D$29),IF(Q18="Pärnu",LOOKUP(Q18,'KHG eriheitetegurid'!C38,'KHG eriheitetegurid'!D38),IF(OR(Q18="Muu",Q18=""),""))))</f>
        <v/>
      </c>
      <c r="S18" s="359"/>
    </row>
    <row r="19" spans="2:19" ht="16.5" thickBot="1" x14ac:dyDescent="0.3">
      <c r="B19" s="578"/>
      <c r="C19" s="48" t="s">
        <v>35</v>
      </c>
      <c r="D19" s="363" t="e">
        <f t="shared" ref="D19:O19" si="2">D18/c_2023</f>
        <v>#DIV/0!</v>
      </c>
      <c r="E19" s="363" t="e">
        <f t="shared" si="2"/>
        <v>#DIV/0!</v>
      </c>
      <c r="F19" s="363" t="e">
        <f t="shared" si="2"/>
        <v>#DIV/0!</v>
      </c>
      <c r="G19" s="363" t="e">
        <f t="shared" si="2"/>
        <v>#DIV/0!</v>
      </c>
      <c r="H19" s="363" t="e">
        <f t="shared" si="2"/>
        <v>#DIV/0!</v>
      </c>
      <c r="I19" s="363" t="e">
        <f t="shared" si="2"/>
        <v>#DIV/0!</v>
      </c>
      <c r="J19" s="363" t="e">
        <f t="shared" si="2"/>
        <v>#DIV/0!</v>
      </c>
      <c r="K19" s="363" t="e">
        <f t="shared" si="2"/>
        <v>#DIV/0!</v>
      </c>
      <c r="L19" s="363" t="e">
        <f t="shared" si="2"/>
        <v>#DIV/0!</v>
      </c>
      <c r="M19" s="363" t="e">
        <f t="shared" si="2"/>
        <v>#DIV/0!</v>
      </c>
      <c r="N19" s="363" t="e">
        <f t="shared" si="2"/>
        <v>#DIV/0!</v>
      </c>
      <c r="O19" s="363" t="e">
        <f t="shared" si="2"/>
        <v>#DIV/0!</v>
      </c>
      <c r="P19" s="366" t="e">
        <f t="shared" si="1"/>
        <v>#DIV/0!</v>
      </c>
      <c r="Q19" s="147"/>
      <c r="R19" s="149"/>
      <c r="S19" s="277"/>
    </row>
    <row r="20" spans="2:19" x14ac:dyDescent="0.25">
      <c r="B20" s="577">
        <f>ÜLDANDMED!E11</f>
        <v>2024</v>
      </c>
      <c r="C20" s="44" t="s">
        <v>367</v>
      </c>
      <c r="D20" s="361"/>
      <c r="E20" s="362"/>
      <c r="F20" s="362"/>
      <c r="G20" s="362"/>
      <c r="H20" s="362"/>
      <c r="I20" s="362"/>
      <c r="J20" s="362"/>
      <c r="K20" s="362"/>
      <c r="L20" s="362"/>
      <c r="M20" s="362"/>
      <c r="N20" s="362"/>
      <c r="O20" s="362"/>
      <c r="P20" s="365">
        <f t="shared" si="1"/>
        <v>0</v>
      </c>
      <c r="Q20" s="358"/>
      <c r="R20" s="278" t="str">
        <f>IF(Q20="Tallinn",LOOKUP(Q20,'KHG eriheitetegurid'!$C$21,'KHG eriheitetegurid'!$D$21),IF(Q20="Tartu",LOOKUP(Q20,'KHG eriheitetegurid'!$C$30,'KHG eriheitetegurid'!$D$30),IF(Q20="Pärnu",LOOKUP(Q20,'KHG eriheitetegurid'!C39,'KHG eriheitetegurid'!D39),IF(OR(Q20="Muu",Q20=""),""))))</f>
        <v/>
      </c>
      <c r="S20" s="360"/>
    </row>
    <row r="21" spans="2:19" ht="16.5" thickBot="1" x14ac:dyDescent="0.3">
      <c r="B21" s="578"/>
      <c r="C21" s="48" t="s">
        <v>35</v>
      </c>
      <c r="D21" s="363" t="e">
        <f t="shared" ref="D21:O21" si="3">D20/c_2024</f>
        <v>#DIV/0!</v>
      </c>
      <c r="E21" s="363" t="e">
        <f t="shared" si="3"/>
        <v>#DIV/0!</v>
      </c>
      <c r="F21" s="363" t="e">
        <f t="shared" si="3"/>
        <v>#DIV/0!</v>
      </c>
      <c r="G21" s="363" t="e">
        <f t="shared" si="3"/>
        <v>#DIV/0!</v>
      </c>
      <c r="H21" s="363" t="e">
        <f t="shared" si="3"/>
        <v>#DIV/0!</v>
      </c>
      <c r="I21" s="363" t="e">
        <f t="shared" si="3"/>
        <v>#DIV/0!</v>
      </c>
      <c r="J21" s="363" t="e">
        <f t="shared" si="3"/>
        <v>#DIV/0!</v>
      </c>
      <c r="K21" s="363" t="e">
        <f t="shared" si="3"/>
        <v>#DIV/0!</v>
      </c>
      <c r="L21" s="363" t="e">
        <f t="shared" si="3"/>
        <v>#DIV/0!</v>
      </c>
      <c r="M21" s="363" t="e">
        <f t="shared" si="3"/>
        <v>#DIV/0!</v>
      </c>
      <c r="N21" s="363" t="e">
        <f t="shared" si="3"/>
        <v>#DIV/0!</v>
      </c>
      <c r="O21" s="363" t="e">
        <f t="shared" si="3"/>
        <v>#DIV/0!</v>
      </c>
      <c r="P21" s="366" t="e">
        <f t="shared" si="1"/>
        <v>#DIV/0!</v>
      </c>
      <c r="Q21" s="147"/>
      <c r="R21" s="149"/>
      <c r="S21" s="277"/>
    </row>
    <row r="22" spans="2:19" x14ac:dyDescent="0.25">
      <c r="B22" s="577">
        <f>ÜLDANDMED!F11</f>
        <v>2025</v>
      </c>
      <c r="C22" s="44" t="s">
        <v>367</v>
      </c>
      <c r="D22" s="361"/>
      <c r="E22" s="362"/>
      <c r="F22" s="362"/>
      <c r="G22" s="362"/>
      <c r="H22" s="362"/>
      <c r="I22" s="362"/>
      <c r="J22" s="362"/>
      <c r="K22" s="362"/>
      <c r="L22" s="362"/>
      <c r="M22" s="362"/>
      <c r="N22" s="362"/>
      <c r="O22" s="362"/>
      <c r="P22" s="365">
        <f t="shared" si="1"/>
        <v>0</v>
      </c>
      <c r="Q22" s="358"/>
      <c r="R22" s="278" t="str">
        <f>IF(Q22="Tallinn",LOOKUP(Q22,'KHG eriheitetegurid'!$C$22,'KHG eriheitetegurid'!$D$22),IF(Q22="Tartu",LOOKUP(Q22,'KHG eriheitetegurid'!$C$31,'KHG eriheitetegurid'!$D$31),IF(Q22="Pärnu",LOOKUP(Q22,'KHG eriheitetegurid'!C40,'KHG eriheitetegurid'!D40),IF(OR(Q22="Muu",Q22=""),""))))</f>
        <v/>
      </c>
      <c r="S22" s="359"/>
    </row>
    <row r="23" spans="2:19" ht="16.5" thickBot="1" x14ac:dyDescent="0.3">
      <c r="B23" s="578"/>
      <c r="C23" s="48" t="s">
        <v>35</v>
      </c>
      <c r="D23" s="363" t="e">
        <f t="shared" ref="D23:O23" si="4">D22/c_2025</f>
        <v>#DIV/0!</v>
      </c>
      <c r="E23" s="363" t="e">
        <f t="shared" si="4"/>
        <v>#DIV/0!</v>
      </c>
      <c r="F23" s="363" t="e">
        <f t="shared" si="4"/>
        <v>#DIV/0!</v>
      </c>
      <c r="G23" s="363" t="e">
        <f t="shared" si="4"/>
        <v>#DIV/0!</v>
      </c>
      <c r="H23" s="363" t="e">
        <f t="shared" si="4"/>
        <v>#DIV/0!</v>
      </c>
      <c r="I23" s="363" t="e">
        <f t="shared" si="4"/>
        <v>#DIV/0!</v>
      </c>
      <c r="J23" s="363" t="e">
        <f t="shared" si="4"/>
        <v>#DIV/0!</v>
      </c>
      <c r="K23" s="363" t="e">
        <f t="shared" si="4"/>
        <v>#DIV/0!</v>
      </c>
      <c r="L23" s="363" t="e">
        <f t="shared" si="4"/>
        <v>#DIV/0!</v>
      </c>
      <c r="M23" s="363" t="e">
        <f t="shared" si="4"/>
        <v>#DIV/0!</v>
      </c>
      <c r="N23" s="363" t="e">
        <f t="shared" si="4"/>
        <v>#DIV/0!</v>
      </c>
      <c r="O23" s="363" t="e">
        <f t="shared" si="4"/>
        <v>#DIV/0!</v>
      </c>
      <c r="P23" s="366" t="e">
        <f t="shared" si="1"/>
        <v>#DIV/0!</v>
      </c>
      <c r="Q23" s="147"/>
      <c r="R23" s="149"/>
      <c r="S23" s="277"/>
    </row>
    <row r="24" spans="2:19" x14ac:dyDescent="0.25">
      <c r="B24" s="577">
        <f>ÜLDANDMED!G11</f>
        <v>2026</v>
      </c>
      <c r="C24" s="44" t="s">
        <v>367</v>
      </c>
      <c r="D24" s="361"/>
      <c r="E24" s="362"/>
      <c r="F24" s="362"/>
      <c r="G24" s="362"/>
      <c r="H24" s="362"/>
      <c r="I24" s="362"/>
      <c r="J24" s="362"/>
      <c r="K24" s="362"/>
      <c r="L24" s="362"/>
      <c r="M24" s="362"/>
      <c r="N24" s="362"/>
      <c r="O24" s="362"/>
      <c r="P24" s="365">
        <f t="shared" si="1"/>
        <v>0</v>
      </c>
      <c r="Q24" s="358"/>
      <c r="R24" s="278" t="str">
        <f>IF(Q24="Tallinn",LOOKUP(Q24,'KHG eriheitetegurid'!$C$23,'KHG eriheitetegurid'!$D$23),IF(Q24="Tartu",LOOKUP(Q24,'KHG eriheitetegurid'!$C$32,'KHG eriheitetegurid'!$D$32),IF(Q24="Pärnu",LOOKUP(Q24,'KHG eriheitetegurid'!C41,'KHG eriheitetegurid'!D41),IF(OR(Q24="Muu",Q24=""),""))))</f>
        <v/>
      </c>
      <c r="S24" s="360"/>
    </row>
    <row r="25" spans="2:19" ht="16.5" thickBot="1" x14ac:dyDescent="0.3">
      <c r="B25" s="578"/>
      <c r="C25" s="48" t="s">
        <v>35</v>
      </c>
      <c r="D25" s="363" t="e">
        <f t="shared" ref="D25:O25" si="5">D24/c_2026</f>
        <v>#DIV/0!</v>
      </c>
      <c r="E25" s="363" t="e">
        <f t="shared" si="5"/>
        <v>#DIV/0!</v>
      </c>
      <c r="F25" s="363" t="e">
        <f t="shared" si="5"/>
        <v>#DIV/0!</v>
      </c>
      <c r="G25" s="363" t="e">
        <f t="shared" si="5"/>
        <v>#DIV/0!</v>
      </c>
      <c r="H25" s="363" t="e">
        <f t="shared" si="5"/>
        <v>#DIV/0!</v>
      </c>
      <c r="I25" s="363" t="e">
        <f t="shared" si="5"/>
        <v>#DIV/0!</v>
      </c>
      <c r="J25" s="363" t="e">
        <f t="shared" si="5"/>
        <v>#DIV/0!</v>
      </c>
      <c r="K25" s="363" t="e">
        <f t="shared" si="5"/>
        <v>#DIV/0!</v>
      </c>
      <c r="L25" s="363" t="e">
        <f t="shared" si="5"/>
        <v>#DIV/0!</v>
      </c>
      <c r="M25" s="363" t="e">
        <f t="shared" si="5"/>
        <v>#DIV/0!</v>
      </c>
      <c r="N25" s="363" t="e">
        <f t="shared" si="5"/>
        <v>#DIV/0!</v>
      </c>
      <c r="O25" s="363" t="e">
        <f t="shared" si="5"/>
        <v>#DIV/0!</v>
      </c>
      <c r="P25" s="366" t="e">
        <f t="shared" si="1"/>
        <v>#DIV/0!</v>
      </c>
      <c r="Q25" s="147"/>
      <c r="R25" s="149"/>
      <c r="S25" s="277"/>
    </row>
    <row r="26" spans="2:19" x14ac:dyDescent="0.25">
      <c r="B26" s="577">
        <f>ÜLDANDMED!H11</f>
        <v>2027</v>
      </c>
      <c r="C26" s="44" t="s">
        <v>367</v>
      </c>
      <c r="D26" s="361"/>
      <c r="E26" s="362"/>
      <c r="F26" s="362"/>
      <c r="G26" s="362"/>
      <c r="H26" s="362"/>
      <c r="I26" s="362"/>
      <c r="J26" s="362"/>
      <c r="K26" s="362"/>
      <c r="L26" s="362"/>
      <c r="M26" s="362"/>
      <c r="N26" s="362"/>
      <c r="O26" s="362"/>
      <c r="P26" s="365">
        <f t="shared" si="1"/>
        <v>0</v>
      </c>
      <c r="Q26" s="358"/>
      <c r="R26" s="278" t="str">
        <f>IF(Q26="Tallinn",LOOKUP(Q26,'KHG eriheitetegurid'!$C$24,'KHG eriheitetegurid'!$D$24),IF(Q26="Tartu",LOOKUP(Q26,'KHG eriheitetegurid'!$C$33,'KHG eriheitetegurid'!$D$33),IF(Q26="Pärnu",LOOKUP(Q26,'KHG eriheitetegurid'!C42,'KHG eriheitetegurid'!D42),IF(OR(Q26="Muu",Q26=""),""))))</f>
        <v/>
      </c>
      <c r="S26" s="359"/>
    </row>
    <row r="27" spans="2:19" ht="16.5" thickBot="1" x14ac:dyDescent="0.3">
      <c r="B27" s="578"/>
      <c r="C27" s="48" t="s">
        <v>35</v>
      </c>
      <c r="D27" s="363" t="e">
        <f t="shared" ref="D27:O27" si="6">D26/c_2027</f>
        <v>#DIV/0!</v>
      </c>
      <c r="E27" s="363" t="e">
        <f t="shared" si="6"/>
        <v>#DIV/0!</v>
      </c>
      <c r="F27" s="363" t="e">
        <f t="shared" si="6"/>
        <v>#DIV/0!</v>
      </c>
      <c r="G27" s="363" t="e">
        <f t="shared" si="6"/>
        <v>#DIV/0!</v>
      </c>
      <c r="H27" s="363" t="e">
        <f t="shared" si="6"/>
        <v>#DIV/0!</v>
      </c>
      <c r="I27" s="363" t="e">
        <f t="shared" si="6"/>
        <v>#DIV/0!</v>
      </c>
      <c r="J27" s="363" t="e">
        <f t="shared" si="6"/>
        <v>#DIV/0!</v>
      </c>
      <c r="K27" s="363" t="e">
        <f t="shared" si="6"/>
        <v>#DIV/0!</v>
      </c>
      <c r="L27" s="363" t="e">
        <f t="shared" si="6"/>
        <v>#DIV/0!</v>
      </c>
      <c r="M27" s="363" t="e">
        <f t="shared" si="6"/>
        <v>#DIV/0!</v>
      </c>
      <c r="N27" s="363" t="e">
        <f t="shared" si="6"/>
        <v>#DIV/0!</v>
      </c>
      <c r="O27" s="363" t="e">
        <f t="shared" si="6"/>
        <v>#DIV/0!</v>
      </c>
      <c r="P27" s="366" t="e">
        <f t="shared" si="1"/>
        <v>#DIV/0!</v>
      </c>
      <c r="Q27" s="147"/>
      <c r="R27" s="149"/>
      <c r="S27" s="277"/>
    </row>
    <row r="28" spans="2:19" x14ac:dyDescent="0.25">
      <c r="B28" s="577">
        <f>ÜLDANDMED!I11</f>
        <v>2028</v>
      </c>
      <c r="C28" s="44" t="s">
        <v>367</v>
      </c>
      <c r="D28" s="361"/>
      <c r="E28" s="362"/>
      <c r="F28" s="362"/>
      <c r="G28" s="362"/>
      <c r="H28" s="362"/>
      <c r="I28" s="362"/>
      <c r="J28" s="362"/>
      <c r="K28" s="362"/>
      <c r="L28" s="362"/>
      <c r="M28" s="362"/>
      <c r="N28" s="362"/>
      <c r="O28" s="362"/>
      <c r="P28" s="367">
        <f t="shared" ref="P28:P29" si="7">SUM(D28:O28)</f>
        <v>0</v>
      </c>
      <c r="Q28" s="358"/>
      <c r="R28" s="278"/>
      <c r="S28" s="360"/>
    </row>
    <row r="29" spans="2:19" ht="16.5" thickBot="1" x14ac:dyDescent="0.3">
      <c r="B29" s="578"/>
      <c r="C29" s="48" t="s">
        <v>35</v>
      </c>
      <c r="D29" s="363" t="e">
        <f t="shared" ref="D29:O29" si="8">D28/c_2028</f>
        <v>#DIV/0!</v>
      </c>
      <c r="E29" s="363" t="e">
        <f t="shared" si="8"/>
        <v>#DIV/0!</v>
      </c>
      <c r="F29" s="363" t="e">
        <f t="shared" si="8"/>
        <v>#DIV/0!</v>
      </c>
      <c r="G29" s="363" t="e">
        <f t="shared" si="8"/>
        <v>#DIV/0!</v>
      </c>
      <c r="H29" s="363" t="e">
        <f t="shared" si="8"/>
        <v>#DIV/0!</v>
      </c>
      <c r="I29" s="363" t="e">
        <f t="shared" si="8"/>
        <v>#DIV/0!</v>
      </c>
      <c r="J29" s="363" t="e">
        <f t="shared" si="8"/>
        <v>#DIV/0!</v>
      </c>
      <c r="K29" s="363" t="e">
        <f t="shared" si="8"/>
        <v>#DIV/0!</v>
      </c>
      <c r="L29" s="363" t="e">
        <f t="shared" si="8"/>
        <v>#DIV/0!</v>
      </c>
      <c r="M29" s="363" t="e">
        <f t="shared" si="8"/>
        <v>#DIV/0!</v>
      </c>
      <c r="N29" s="363" t="e">
        <f t="shared" si="8"/>
        <v>#DIV/0!</v>
      </c>
      <c r="O29" s="363" t="e">
        <f t="shared" si="8"/>
        <v>#DIV/0!</v>
      </c>
      <c r="P29" s="366" t="e">
        <f t="shared" si="7"/>
        <v>#DIV/0!</v>
      </c>
      <c r="Q29" s="147"/>
      <c r="R29" s="149"/>
      <c r="S29" s="277"/>
    </row>
    <row r="32" spans="2:19" x14ac:dyDescent="0.25">
      <c r="N32"/>
      <c r="O32"/>
      <c r="P32"/>
    </row>
    <row r="33" spans="14:17" x14ac:dyDescent="0.25">
      <c r="N33"/>
      <c r="O33"/>
      <c r="P33"/>
      <c r="Q33"/>
    </row>
    <row r="34" spans="14:17" x14ac:dyDescent="0.25">
      <c r="N34"/>
      <c r="O34"/>
      <c r="P34"/>
      <c r="Q34"/>
    </row>
    <row r="35" spans="14:17" x14ac:dyDescent="0.25">
      <c r="N35"/>
      <c r="O35"/>
      <c r="P35"/>
      <c r="Q35"/>
    </row>
    <row r="36" spans="14:17" x14ac:dyDescent="0.25">
      <c r="N36"/>
      <c r="O36"/>
      <c r="P36"/>
      <c r="Q36"/>
    </row>
    <row r="37" spans="14:17" x14ac:dyDescent="0.25">
      <c r="N37"/>
      <c r="O37"/>
      <c r="P37"/>
      <c r="Q37"/>
    </row>
    <row r="38" spans="14:17" x14ac:dyDescent="0.25">
      <c r="N38"/>
      <c r="O38"/>
      <c r="P38"/>
      <c r="Q38"/>
    </row>
    <row r="39" spans="14:17" x14ac:dyDescent="0.25">
      <c r="N39"/>
      <c r="O39" s="280"/>
      <c r="P39"/>
      <c r="Q39"/>
    </row>
    <row r="40" spans="14:17" x14ac:dyDescent="0.25">
      <c r="N40"/>
      <c r="O40"/>
      <c r="P40"/>
      <c r="Q40"/>
    </row>
    <row r="41" spans="14:17" x14ac:dyDescent="0.25">
      <c r="N41"/>
      <c r="O41"/>
      <c r="P41"/>
      <c r="Q41"/>
    </row>
    <row r="42" spans="14:17" x14ac:dyDescent="0.25">
      <c r="N42"/>
      <c r="O42"/>
      <c r="P42"/>
      <c r="Q42"/>
    </row>
    <row r="43" spans="14:17" x14ac:dyDescent="0.25">
      <c r="N43"/>
      <c r="O43"/>
      <c r="P43"/>
      <c r="Q43"/>
    </row>
    <row r="44" spans="14:17" x14ac:dyDescent="0.25">
      <c r="N44"/>
      <c r="O44"/>
      <c r="P44"/>
      <c r="Q44"/>
    </row>
    <row r="45" spans="14:17" x14ac:dyDescent="0.25">
      <c r="N45"/>
      <c r="O45"/>
      <c r="P45"/>
      <c r="Q45"/>
    </row>
    <row r="46" spans="14:17" x14ac:dyDescent="0.25">
      <c r="N46"/>
      <c r="O46"/>
      <c r="P46"/>
    </row>
    <row r="47" spans="14:17" x14ac:dyDescent="0.25">
      <c r="N47"/>
      <c r="O47"/>
      <c r="P47"/>
    </row>
    <row r="48" spans="14:17" x14ac:dyDescent="0.25">
      <c r="N48"/>
      <c r="O48"/>
      <c r="P48"/>
    </row>
    <row r="49" spans="14:16" x14ac:dyDescent="0.25">
      <c r="N49"/>
      <c r="O49"/>
      <c r="P49"/>
    </row>
    <row r="50" spans="14:16" x14ac:dyDescent="0.25">
      <c r="N50"/>
      <c r="O50"/>
      <c r="P50"/>
    </row>
    <row r="51" spans="14:16" x14ac:dyDescent="0.25">
      <c r="O51" s="63"/>
      <c r="P51"/>
    </row>
    <row r="52" spans="14:16" x14ac:dyDescent="0.25">
      <c r="O52" s="63"/>
      <c r="P52"/>
    </row>
    <row r="53" spans="14:16" x14ac:dyDescent="0.25">
      <c r="O53" s="63"/>
      <c r="P53"/>
    </row>
    <row r="54" spans="14:16" x14ac:dyDescent="0.25">
      <c r="O54" s="63"/>
      <c r="P54"/>
    </row>
    <row r="55" spans="14:16" x14ac:dyDescent="0.25">
      <c r="O55" s="63"/>
      <c r="P55"/>
    </row>
    <row r="56" spans="14:16" x14ac:dyDescent="0.25">
      <c r="O56" s="63"/>
      <c r="P56"/>
    </row>
  </sheetData>
  <mergeCells count="28">
    <mergeCell ref="B28:B29"/>
    <mergeCell ref="O12:O15"/>
    <mergeCell ref="M12:M15"/>
    <mergeCell ref="L12:L15"/>
    <mergeCell ref="K12:K15"/>
    <mergeCell ref="J12:J15"/>
    <mergeCell ref="I12:I15"/>
    <mergeCell ref="H12:H15"/>
    <mergeCell ref="G12:G15"/>
    <mergeCell ref="N12:N15"/>
    <mergeCell ref="F12:F15"/>
    <mergeCell ref="B12:B15"/>
    <mergeCell ref="B24:B25"/>
    <mergeCell ref="B18:B19"/>
    <mergeCell ref="B20:B21"/>
    <mergeCell ref="B22:B23"/>
    <mergeCell ref="R12:R15"/>
    <mergeCell ref="B4:P4"/>
    <mergeCell ref="B6:C6"/>
    <mergeCell ref="Q11:S11"/>
    <mergeCell ref="B26:B27"/>
    <mergeCell ref="Q12:Q15"/>
    <mergeCell ref="S12:S15"/>
    <mergeCell ref="D12:D15"/>
    <mergeCell ref="E12:E15"/>
    <mergeCell ref="B16:B17"/>
    <mergeCell ref="P12:P15"/>
    <mergeCell ref="C12:C15"/>
  </mergeCells>
  <conditionalFormatting sqref="R16:R29">
    <cfRule type="expression" dxfId="1" priority="4">
      <formula>$Q16="Muu"</formula>
    </cfRule>
    <cfRule type="expression" dxfId="0" priority="5">
      <formula>OR($Q16="Tallinn",$Q16="Tartu",$Q16="Pärnu")</formula>
    </cfRule>
  </conditionalFormatting>
  <dataValidations count="1">
    <dataValidation type="list" allowBlank="1" showInputMessage="1" showErrorMessage="1" sqref="N37 N49 N47 N45 N43 N41 N39" xr:uid="{C41EDBC2-358B-4803-A2E7-32F6802E647F}">
      <formula1>$N$54:$N$56</formula1>
    </dataValidation>
  </dataValidations>
  <pageMargins left="0.70866141732283472" right="0.70866141732283472" top="0.74803149606299213" bottom="0.74803149606299213" header="0.31496062992125984" footer="0.31496062992125984"/>
  <pageSetup paperSize="9" scale="38" fitToHeight="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89D48D-A95C-48A8-8C5F-29E61727DC94}">
          <x14:formula1>
            <xm:f>'KHG eriheitetegurid'!$B$388:$B$392</xm:f>
          </x14:formula1>
          <xm:sqref>S16 S28 S24 S18 S26 S20 S22 P47 P49</xm:sqref>
        </x14:dataValidation>
        <x14:dataValidation type="list" allowBlank="1" showInputMessage="1" showErrorMessage="1" xr:uid="{08618C39-11C9-4598-8057-245E205969CF}">
          <x14:formula1>
            <xm:f>'KHG eriheitetegurid'!$B$382:$B$385</xm:f>
          </x14:formula1>
          <xm:sqref>Q16 Q18 Q20 Q22 Q24 Q26 Q28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BA12"/>
    <pageSetUpPr fitToPage="1"/>
  </sheetPr>
  <dimension ref="A2:R26"/>
  <sheetViews>
    <sheetView showGridLines="0" zoomScaleNormal="100" workbookViewId="0">
      <pane xSplit="1" ySplit="2" topLeftCell="B3" activePane="bottomRight" state="frozen"/>
      <selection pane="topRight" activeCell="B1" sqref="B1"/>
      <selection pane="bottomLeft" activeCell="A3" sqref="A3"/>
      <selection pane="bottomRight" activeCell="D25" sqref="D25:O25"/>
    </sheetView>
  </sheetViews>
  <sheetFormatPr defaultColWidth="9.28515625" defaultRowHeight="14.65" customHeight="1" x14ac:dyDescent="0.25"/>
  <cols>
    <col min="1" max="1" width="2.5703125" customWidth="1"/>
    <col min="2" max="2" width="7.5703125" customWidth="1"/>
    <col min="3" max="3" width="38.7109375" customWidth="1"/>
    <col min="4" max="15" width="10.7109375" style="11" customWidth="1"/>
    <col min="16" max="16" width="15.7109375" style="3" customWidth="1"/>
    <col min="18" max="18" width="13.7109375" customWidth="1"/>
  </cols>
  <sheetData>
    <row r="2" spans="1:18" ht="18.600000000000001" customHeight="1" x14ac:dyDescent="0.3">
      <c r="B2" s="32" t="s">
        <v>36</v>
      </c>
      <c r="C2" s="100"/>
      <c r="F2" s="29"/>
    </row>
    <row r="3" spans="1:18" ht="14.65" customHeight="1" x14ac:dyDescent="0.25">
      <c r="A3" s="1"/>
      <c r="B3" s="1"/>
      <c r="C3" s="100"/>
      <c r="F3" s="29"/>
      <c r="R3" s="4"/>
    </row>
    <row r="4" spans="1:18" ht="110.65" customHeight="1" x14ac:dyDescent="0.25">
      <c r="A4" s="1"/>
      <c r="B4" s="548" t="s">
        <v>394</v>
      </c>
      <c r="C4" s="555"/>
      <c r="D4" s="555"/>
      <c r="E4" s="555"/>
      <c r="F4" s="555"/>
      <c r="G4" s="555"/>
      <c r="H4" s="555"/>
      <c r="I4" s="555"/>
      <c r="J4" s="555"/>
      <c r="K4" s="555"/>
      <c r="L4" s="555"/>
      <c r="M4" s="555"/>
      <c r="N4" s="555"/>
      <c r="O4" s="555"/>
      <c r="P4" s="556"/>
      <c r="R4" s="4"/>
    </row>
    <row r="5" spans="1:18" ht="14.65" customHeight="1" x14ac:dyDescent="0.25">
      <c r="A5" s="1"/>
      <c r="B5" s="37"/>
      <c r="C5" s="37"/>
      <c r="D5" s="37"/>
      <c r="E5" s="37"/>
      <c r="F5" s="37"/>
      <c r="G5" s="37"/>
      <c r="H5" s="37"/>
      <c r="R5" s="4"/>
    </row>
    <row r="6" spans="1:18" ht="14.65" customHeight="1" x14ac:dyDescent="0.25">
      <c r="A6" s="1"/>
      <c r="B6" s="567" t="s">
        <v>2</v>
      </c>
      <c r="C6" s="600"/>
      <c r="D6" s="34"/>
      <c r="E6" s="34"/>
      <c r="F6" s="34"/>
      <c r="R6" s="4"/>
    </row>
    <row r="7" spans="1:18" ht="14.65" customHeight="1" x14ac:dyDescent="0.25">
      <c r="A7" s="1"/>
      <c r="B7" s="118"/>
      <c r="C7" s="135" t="s">
        <v>37</v>
      </c>
      <c r="D7" s="34"/>
      <c r="E7" s="34"/>
      <c r="R7" s="4"/>
    </row>
    <row r="8" spans="1:18" ht="14.65" customHeight="1" x14ac:dyDescent="0.25">
      <c r="A8" s="1"/>
      <c r="C8" s="356" t="s">
        <v>4</v>
      </c>
      <c r="D8" s="34"/>
      <c r="E8" s="34"/>
      <c r="F8" s="34"/>
      <c r="P8"/>
      <c r="R8" s="4"/>
    </row>
    <row r="9" spans="1:18" s="19" customFormat="1" ht="14.65" customHeight="1" x14ac:dyDescent="0.25">
      <c r="C9" s="150" t="s">
        <v>7</v>
      </c>
      <c r="F9" s="20"/>
      <c r="G9" s="20"/>
      <c r="H9" s="20"/>
      <c r="I9" s="20"/>
      <c r="J9" s="20"/>
      <c r="K9" s="20"/>
      <c r="L9" s="20"/>
      <c r="M9" s="20"/>
      <c r="N9" s="20"/>
      <c r="O9" s="51"/>
      <c r="P9" s="52"/>
      <c r="Q9"/>
      <c r="R9"/>
    </row>
    <row r="10" spans="1:18" ht="14.65" customHeight="1" thickBot="1" x14ac:dyDescent="0.35">
      <c r="A10" s="7"/>
      <c r="B10" s="7"/>
      <c r="C10" s="7"/>
      <c r="D10" s="12"/>
      <c r="F10" s="53"/>
      <c r="G10" s="54"/>
      <c r="R10" s="25"/>
    </row>
    <row r="11" spans="1:18" ht="14.65" customHeight="1" x14ac:dyDescent="0.25">
      <c r="A11" s="7"/>
      <c r="B11" s="604" t="s">
        <v>9</v>
      </c>
      <c r="C11" s="561" t="s">
        <v>10</v>
      </c>
      <c r="D11" s="605" t="s">
        <v>11</v>
      </c>
      <c r="E11" s="588" t="s">
        <v>12</v>
      </c>
      <c r="F11" s="588" t="s">
        <v>13</v>
      </c>
      <c r="G11" s="588" t="s">
        <v>14</v>
      </c>
      <c r="H11" s="588" t="s">
        <v>15</v>
      </c>
      <c r="I11" s="588" t="s">
        <v>16</v>
      </c>
      <c r="J11" s="588" t="s">
        <v>17</v>
      </c>
      <c r="K11" s="588" t="s">
        <v>18</v>
      </c>
      <c r="L11" s="588" t="s">
        <v>19</v>
      </c>
      <c r="M11" s="588" t="s">
        <v>20</v>
      </c>
      <c r="N11" s="588" t="s">
        <v>21</v>
      </c>
      <c r="O11" s="597" t="s">
        <v>22</v>
      </c>
      <c r="P11" s="601" t="s">
        <v>23</v>
      </c>
    </row>
    <row r="12" spans="1:18" ht="14.65" customHeight="1" thickBot="1" x14ac:dyDescent="0.3">
      <c r="A12" s="8"/>
      <c r="B12" s="568"/>
      <c r="C12" s="603"/>
      <c r="D12" s="606"/>
      <c r="E12" s="590"/>
      <c r="F12" s="590"/>
      <c r="G12" s="590"/>
      <c r="H12" s="590"/>
      <c r="I12" s="590"/>
      <c r="J12" s="590"/>
      <c r="K12" s="590"/>
      <c r="L12" s="590"/>
      <c r="M12" s="590"/>
      <c r="N12" s="590"/>
      <c r="O12" s="599"/>
      <c r="P12" s="602"/>
    </row>
    <row r="13" spans="1:18" ht="14.65" customHeight="1" x14ac:dyDescent="0.25">
      <c r="B13" s="259">
        <f>ÜLDANDMED!C11</f>
        <v>2022</v>
      </c>
      <c r="C13" s="263" t="s">
        <v>379</v>
      </c>
      <c r="D13" s="369"/>
      <c r="E13" s="369"/>
      <c r="F13" s="369"/>
      <c r="G13" s="369"/>
      <c r="H13" s="369"/>
      <c r="I13" s="369"/>
      <c r="J13" s="369"/>
      <c r="K13" s="369"/>
      <c r="L13" s="369"/>
      <c r="M13" s="369"/>
      <c r="N13" s="369"/>
      <c r="O13" s="369"/>
      <c r="P13" s="371">
        <f>SUM(D13:O13)</f>
        <v>0</v>
      </c>
      <c r="R13" s="49"/>
    </row>
    <row r="14" spans="1:18" ht="14.65" customHeight="1" thickBot="1" x14ac:dyDescent="0.3">
      <c r="B14" s="260"/>
      <c r="C14" s="266" t="s">
        <v>378</v>
      </c>
      <c r="D14" s="510"/>
      <c r="E14" s="510"/>
      <c r="F14" s="510"/>
      <c r="G14" s="510"/>
      <c r="H14" s="510"/>
      <c r="I14" s="510"/>
      <c r="J14" s="510"/>
      <c r="K14" s="510"/>
      <c r="L14" s="510"/>
      <c r="M14" s="510"/>
      <c r="N14" s="510"/>
      <c r="O14" s="510"/>
      <c r="P14" s="372" t="e">
        <f>P13/b_2022</f>
        <v>#DIV/0!</v>
      </c>
    </row>
    <row r="15" spans="1:18" ht="14.65" customHeight="1" x14ac:dyDescent="0.25">
      <c r="B15" s="259">
        <f>ÜLDANDMED!D11</f>
        <v>2023</v>
      </c>
      <c r="C15" s="263" t="s">
        <v>379</v>
      </c>
      <c r="D15" s="369"/>
      <c r="E15" s="369"/>
      <c r="F15" s="369"/>
      <c r="G15" s="369"/>
      <c r="H15" s="369"/>
      <c r="I15" s="369"/>
      <c r="J15" s="369"/>
      <c r="K15" s="369"/>
      <c r="L15" s="369"/>
      <c r="M15" s="369"/>
      <c r="N15" s="369"/>
      <c r="O15" s="369"/>
      <c r="P15" s="371">
        <f t="shared" ref="P15:P25" si="0">SUM(D15:O15)</f>
        <v>0</v>
      </c>
      <c r="R15" s="49"/>
    </row>
    <row r="16" spans="1:18" ht="14.65" customHeight="1" thickBot="1" x14ac:dyDescent="0.3">
      <c r="B16" s="260"/>
      <c r="C16" s="266" t="s">
        <v>378</v>
      </c>
      <c r="D16" s="511"/>
      <c r="E16" s="511"/>
      <c r="F16" s="511"/>
      <c r="G16" s="511"/>
      <c r="H16" s="511"/>
      <c r="I16" s="511"/>
      <c r="J16" s="511"/>
      <c r="K16" s="511"/>
      <c r="L16" s="511"/>
      <c r="M16" s="511"/>
      <c r="N16" s="511"/>
      <c r="O16" s="511"/>
      <c r="P16" s="373" t="e">
        <f>P15/b_2023</f>
        <v>#DIV/0!</v>
      </c>
    </row>
    <row r="17" spans="2:18" ht="14.65" customHeight="1" x14ac:dyDescent="0.25">
      <c r="B17" s="259">
        <f>ÜLDANDMED!E11</f>
        <v>2024</v>
      </c>
      <c r="C17" s="263" t="s">
        <v>379</v>
      </c>
      <c r="D17" s="369"/>
      <c r="E17" s="369"/>
      <c r="F17" s="369"/>
      <c r="G17" s="369"/>
      <c r="H17" s="369"/>
      <c r="I17" s="369"/>
      <c r="J17" s="369"/>
      <c r="K17" s="369"/>
      <c r="L17" s="369"/>
      <c r="M17" s="369"/>
      <c r="N17" s="369"/>
      <c r="O17" s="369"/>
      <c r="P17" s="374">
        <f t="shared" si="0"/>
        <v>0</v>
      </c>
      <c r="R17" s="49"/>
    </row>
    <row r="18" spans="2:18" ht="14.65" customHeight="1" thickBot="1" x14ac:dyDescent="0.3">
      <c r="B18" s="260"/>
      <c r="C18" s="266" t="s">
        <v>378</v>
      </c>
      <c r="D18" s="510"/>
      <c r="E18" s="510"/>
      <c r="F18" s="510"/>
      <c r="G18" s="510"/>
      <c r="H18" s="510"/>
      <c r="I18" s="510"/>
      <c r="J18" s="510"/>
      <c r="K18" s="510"/>
      <c r="L18" s="510"/>
      <c r="M18" s="510"/>
      <c r="N18" s="510"/>
      <c r="O18" s="510"/>
      <c r="P18" s="372" t="e">
        <f>P17/b_2024</f>
        <v>#DIV/0!</v>
      </c>
    </row>
    <row r="19" spans="2:18" ht="14.65" customHeight="1" x14ac:dyDescent="0.25">
      <c r="B19" s="259">
        <f>ÜLDANDMED!F11</f>
        <v>2025</v>
      </c>
      <c r="C19" s="263" t="s">
        <v>379</v>
      </c>
      <c r="D19" s="369"/>
      <c r="E19" s="369"/>
      <c r="F19" s="369"/>
      <c r="G19" s="369"/>
      <c r="H19" s="369"/>
      <c r="I19" s="369"/>
      <c r="J19" s="369"/>
      <c r="K19" s="369"/>
      <c r="L19" s="369"/>
      <c r="M19" s="369"/>
      <c r="N19" s="369"/>
      <c r="O19" s="369"/>
      <c r="P19" s="371">
        <f t="shared" si="0"/>
        <v>0</v>
      </c>
      <c r="R19" s="49"/>
    </row>
    <row r="20" spans="2:18" ht="14.65" customHeight="1" thickBot="1" x14ac:dyDescent="0.3">
      <c r="B20" s="260"/>
      <c r="C20" s="266" t="s">
        <v>378</v>
      </c>
      <c r="D20" s="511"/>
      <c r="E20" s="511"/>
      <c r="F20" s="511"/>
      <c r="G20" s="511"/>
      <c r="H20" s="511"/>
      <c r="I20" s="511"/>
      <c r="J20" s="511"/>
      <c r="K20" s="511"/>
      <c r="L20" s="511"/>
      <c r="M20" s="511"/>
      <c r="N20" s="511"/>
      <c r="O20" s="511"/>
      <c r="P20" s="373" t="e">
        <f>P19/b_2025</f>
        <v>#DIV/0!</v>
      </c>
    </row>
    <row r="21" spans="2:18" ht="14.65" customHeight="1" x14ac:dyDescent="0.25">
      <c r="B21" s="259">
        <f>ÜLDANDMED!G11</f>
        <v>2026</v>
      </c>
      <c r="C21" s="263" t="s">
        <v>379</v>
      </c>
      <c r="D21" s="369"/>
      <c r="E21" s="369"/>
      <c r="F21" s="369"/>
      <c r="G21" s="369"/>
      <c r="H21" s="369"/>
      <c r="I21" s="369"/>
      <c r="J21" s="369"/>
      <c r="K21" s="369"/>
      <c r="L21" s="369"/>
      <c r="M21" s="369"/>
      <c r="N21" s="369"/>
      <c r="O21" s="369"/>
      <c r="P21" s="374">
        <f t="shared" si="0"/>
        <v>0</v>
      </c>
      <c r="R21" s="49"/>
    </row>
    <row r="22" spans="2:18" ht="14.65" customHeight="1" thickBot="1" x14ac:dyDescent="0.3">
      <c r="B22" s="260"/>
      <c r="C22" s="266" t="s">
        <v>378</v>
      </c>
      <c r="D22" s="510"/>
      <c r="E22" s="510"/>
      <c r="F22" s="510"/>
      <c r="G22" s="510"/>
      <c r="H22" s="510"/>
      <c r="I22" s="510"/>
      <c r="J22" s="510"/>
      <c r="K22" s="510"/>
      <c r="L22" s="510"/>
      <c r="M22" s="510"/>
      <c r="N22" s="510"/>
      <c r="O22" s="510"/>
      <c r="P22" s="372" t="e">
        <f>P21/b_2026</f>
        <v>#DIV/0!</v>
      </c>
    </row>
    <row r="23" spans="2:18" ht="14.65" customHeight="1" x14ac:dyDescent="0.25">
      <c r="B23" s="259">
        <f>ÜLDANDMED!H11</f>
        <v>2027</v>
      </c>
      <c r="C23" s="263" t="s">
        <v>379</v>
      </c>
      <c r="D23" s="369"/>
      <c r="E23" s="369"/>
      <c r="F23" s="369"/>
      <c r="G23" s="369"/>
      <c r="H23" s="369"/>
      <c r="I23" s="369"/>
      <c r="J23" s="369"/>
      <c r="K23" s="369"/>
      <c r="L23" s="369"/>
      <c r="M23" s="369"/>
      <c r="N23" s="369"/>
      <c r="O23" s="369"/>
      <c r="P23" s="371">
        <f t="shared" si="0"/>
        <v>0</v>
      </c>
      <c r="R23" s="49"/>
    </row>
    <row r="24" spans="2:18" ht="14.65" customHeight="1" thickBot="1" x14ac:dyDescent="0.3">
      <c r="B24" s="260"/>
      <c r="C24" s="266" t="s">
        <v>378</v>
      </c>
      <c r="D24" s="512"/>
      <c r="E24" s="512"/>
      <c r="F24" s="512"/>
      <c r="G24" s="512"/>
      <c r="H24" s="512"/>
      <c r="I24" s="512"/>
      <c r="J24" s="512"/>
      <c r="K24" s="512"/>
      <c r="L24" s="512"/>
      <c r="M24" s="512"/>
      <c r="N24" s="512"/>
      <c r="O24" s="512"/>
      <c r="P24" s="373" t="e">
        <f>P23/b_2027</f>
        <v>#DIV/0!</v>
      </c>
    </row>
    <row r="25" spans="2:18" ht="14.65" customHeight="1" x14ac:dyDescent="0.25">
      <c r="B25" s="259">
        <f>ÜLDANDMED!I11</f>
        <v>2028</v>
      </c>
      <c r="C25" s="263" t="s">
        <v>379</v>
      </c>
      <c r="D25" s="369"/>
      <c r="E25" s="369"/>
      <c r="F25" s="369"/>
      <c r="G25" s="369"/>
      <c r="H25" s="369"/>
      <c r="I25" s="369"/>
      <c r="J25" s="369"/>
      <c r="K25" s="369"/>
      <c r="L25" s="369"/>
      <c r="M25" s="369"/>
      <c r="N25" s="369"/>
      <c r="O25" s="369"/>
      <c r="P25" s="374">
        <f t="shared" si="0"/>
        <v>0</v>
      </c>
      <c r="R25" s="49"/>
    </row>
    <row r="26" spans="2:18" ht="14.65" customHeight="1" thickBot="1" x14ac:dyDescent="0.3">
      <c r="B26" s="261"/>
      <c r="C26" s="266" t="s">
        <v>378</v>
      </c>
      <c r="D26" s="510"/>
      <c r="E26" s="510"/>
      <c r="F26" s="510"/>
      <c r="G26" s="510"/>
      <c r="H26" s="510"/>
      <c r="I26" s="510"/>
      <c r="J26" s="510"/>
      <c r="K26" s="510"/>
      <c r="L26" s="510"/>
      <c r="M26" s="510"/>
      <c r="N26" s="510"/>
      <c r="O26" s="510"/>
      <c r="P26" s="373" t="e">
        <f>P25/b_2028</f>
        <v>#DIV/0!</v>
      </c>
    </row>
  </sheetData>
  <mergeCells count="17">
    <mergeCell ref="G11:G12"/>
    <mergeCell ref="L11:L12"/>
    <mergeCell ref="M11:M12"/>
    <mergeCell ref="I11:I12"/>
    <mergeCell ref="N11:N12"/>
    <mergeCell ref="B4:P4"/>
    <mergeCell ref="B6:C6"/>
    <mergeCell ref="O11:O12"/>
    <mergeCell ref="P11:P12"/>
    <mergeCell ref="J11:J12"/>
    <mergeCell ref="K11:K12"/>
    <mergeCell ref="C11:C12"/>
    <mergeCell ref="B11:B12"/>
    <mergeCell ref="H11:H12"/>
    <mergeCell ref="D11:D12"/>
    <mergeCell ref="E11:E12"/>
    <mergeCell ref="F11:F12"/>
  </mergeCells>
  <pageMargins left="0.70866141732283472" right="0.70866141732283472" top="0.74803149606299213" bottom="0.74803149606299213" header="0.31496062992125984" footer="0.31496062992125984"/>
  <pageSetup paperSize="9" scale="45"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BA12"/>
    <pageSetUpPr fitToPage="1"/>
  </sheetPr>
  <dimension ref="A1:K56"/>
  <sheetViews>
    <sheetView showGridLines="0" zoomScaleNormal="100" workbookViewId="0">
      <pane xSplit="1" ySplit="2" topLeftCell="B3" activePane="bottomRight" state="frozen"/>
      <selection pane="topRight" activeCell="B1" sqref="B1"/>
      <selection pane="bottomLeft" activeCell="A3" sqref="A3"/>
      <selection pane="bottomRight" activeCell="H15" sqref="H15"/>
    </sheetView>
  </sheetViews>
  <sheetFormatPr defaultRowHeight="15" customHeight="1" x14ac:dyDescent="0.25"/>
  <cols>
    <col min="1" max="1" width="2.5703125" customWidth="1"/>
    <col min="2" max="2" width="7.5703125" customWidth="1"/>
    <col min="3" max="3" width="43.28515625" customWidth="1"/>
    <col min="4" max="4" width="15.7109375" style="3" customWidth="1"/>
  </cols>
  <sheetData>
    <row r="1" spans="1:11" ht="15" customHeight="1" x14ac:dyDescent="0.25">
      <c r="B1" s="4"/>
    </row>
    <row r="2" spans="1:11" ht="15" customHeight="1" x14ac:dyDescent="0.3">
      <c r="A2" s="23"/>
      <c r="B2" s="32" t="s">
        <v>38</v>
      </c>
    </row>
    <row r="3" spans="1:11" ht="15" customHeight="1" x14ac:dyDescent="0.35">
      <c r="A3" s="23"/>
      <c r="B3" s="31"/>
    </row>
    <row r="4" spans="1:11" ht="108" customHeight="1" x14ac:dyDescent="0.3">
      <c r="A4" s="23"/>
      <c r="B4" s="607" t="s">
        <v>499</v>
      </c>
      <c r="C4" s="608"/>
      <c r="D4" s="608"/>
      <c r="E4" s="608"/>
      <c r="F4" s="608"/>
      <c r="G4" s="608"/>
      <c r="H4" s="608"/>
      <c r="I4" s="608"/>
      <c r="J4" s="608"/>
      <c r="K4" s="609"/>
    </row>
    <row r="5" spans="1:11" ht="15" customHeight="1" x14ac:dyDescent="0.3">
      <c r="A5" s="23"/>
      <c r="B5" s="167"/>
      <c r="C5" s="533" t="s">
        <v>39</v>
      </c>
      <c r="D5" s="533">
        <v>500</v>
      </c>
      <c r="E5" s="532" t="s">
        <v>40</v>
      </c>
      <c r="G5" s="169"/>
      <c r="H5" s="169"/>
      <c r="I5" s="169"/>
      <c r="K5" s="118"/>
    </row>
    <row r="6" spans="1:11" ht="15" customHeight="1" x14ac:dyDescent="0.3">
      <c r="A6" s="23"/>
      <c r="B6" s="167"/>
      <c r="C6" s="168" t="s">
        <v>41</v>
      </c>
      <c r="D6" s="168">
        <v>5</v>
      </c>
      <c r="E6" s="166" t="s">
        <v>42</v>
      </c>
      <c r="G6" s="169"/>
      <c r="H6" s="169"/>
      <c r="I6" s="169"/>
      <c r="K6" s="118"/>
    </row>
    <row r="7" spans="1:11" ht="15" customHeight="1" x14ac:dyDescent="0.3">
      <c r="A7" s="23"/>
      <c r="B7" s="611" t="s">
        <v>43</v>
      </c>
      <c r="C7" s="612"/>
      <c r="D7" s="612"/>
      <c r="E7" s="612"/>
      <c r="F7" s="612"/>
      <c r="G7" s="612"/>
      <c r="H7" s="612"/>
      <c r="I7" s="612"/>
      <c r="J7" s="523"/>
      <c r="K7" s="524"/>
    </row>
    <row r="8" spans="1:11" ht="15" customHeight="1" x14ac:dyDescent="0.3">
      <c r="A8" s="23"/>
      <c r="B8" s="35"/>
      <c r="C8" s="35"/>
      <c r="D8" s="72"/>
      <c r="E8" s="35"/>
      <c r="F8" s="35"/>
      <c r="G8" s="35"/>
    </row>
    <row r="9" spans="1:11" ht="15" customHeight="1" x14ac:dyDescent="0.25">
      <c r="B9" s="567" t="s">
        <v>2</v>
      </c>
      <c r="C9" s="567"/>
    </row>
    <row r="10" spans="1:11" ht="15" customHeight="1" x14ac:dyDescent="0.25">
      <c r="C10" s="378" t="s">
        <v>3</v>
      </c>
    </row>
    <row r="11" spans="1:11" ht="15" customHeight="1" x14ac:dyDescent="0.25">
      <c r="C11" s="356" t="s">
        <v>4</v>
      </c>
    </row>
    <row r="12" spans="1:11" ht="15" customHeight="1" thickBot="1" x14ac:dyDescent="0.3"/>
    <row r="13" spans="1:11" ht="15" customHeight="1" x14ac:dyDescent="0.25">
      <c r="B13" s="613" t="s">
        <v>9</v>
      </c>
      <c r="C13" s="594" t="s">
        <v>10</v>
      </c>
      <c r="D13" s="591" t="s">
        <v>23</v>
      </c>
    </row>
    <row r="14" spans="1:11" ht="15" customHeight="1" thickBot="1" x14ac:dyDescent="0.3">
      <c r="B14" s="614"/>
      <c r="C14" s="596"/>
      <c r="D14" s="592"/>
    </row>
    <row r="15" spans="1:11" ht="15" customHeight="1" x14ac:dyDescent="0.25">
      <c r="B15" s="577">
        <f>ÜLDANDMED!C11</f>
        <v>2022</v>
      </c>
      <c r="C15" s="251" t="s">
        <v>44</v>
      </c>
      <c r="D15" s="377"/>
    </row>
    <row r="16" spans="1:11" ht="15" customHeight="1" x14ac:dyDescent="0.25">
      <c r="B16" s="610"/>
      <c r="C16" s="252" t="s">
        <v>45</v>
      </c>
      <c r="D16" s="375">
        <f>D15*$D$5</f>
        <v>0</v>
      </c>
    </row>
    <row r="17" spans="2:6" ht="15" customHeight="1" x14ac:dyDescent="0.25">
      <c r="B17" s="610"/>
      <c r="C17" s="253" t="s">
        <v>46</v>
      </c>
      <c r="D17" s="375" t="e">
        <f>D16/a_2022</f>
        <v>#DIV/0!</v>
      </c>
    </row>
    <row r="18" spans="2:6" ht="15" customHeight="1" x14ac:dyDescent="0.25">
      <c r="B18" s="610"/>
      <c r="C18" s="254" t="s">
        <v>47</v>
      </c>
      <c r="D18" s="376">
        <f>D16*$D$6/1000</f>
        <v>0</v>
      </c>
      <c r="F18" s="93"/>
    </row>
    <row r="19" spans="2:6" ht="15" customHeight="1" x14ac:dyDescent="0.25">
      <c r="B19" s="610"/>
      <c r="C19" s="525" t="s">
        <v>460</v>
      </c>
      <c r="D19" s="519"/>
      <c r="F19" s="93"/>
    </row>
    <row r="20" spans="2:6" ht="15" customHeight="1" thickBot="1" x14ac:dyDescent="0.3">
      <c r="B20" s="578"/>
      <c r="C20" s="525" t="s">
        <v>461</v>
      </c>
      <c r="D20" s="519"/>
      <c r="F20" s="93"/>
    </row>
    <row r="21" spans="2:6" ht="15" customHeight="1" x14ac:dyDescent="0.25">
      <c r="B21" s="577">
        <f>ÜLDANDMED!D11</f>
        <v>2023</v>
      </c>
      <c r="C21" s="251" t="s">
        <v>44</v>
      </c>
      <c r="D21" s="377"/>
    </row>
    <row r="22" spans="2:6" ht="15" customHeight="1" x14ac:dyDescent="0.25">
      <c r="B22" s="610"/>
      <c r="C22" s="252" t="s">
        <v>45</v>
      </c>
      <c r="D22" s="375">
        <f>D21*$D$5</f>
        <v>0</v>
      </c>
    </row>
    <row r="23" spans="2:6" ht="15" customHeight="1" x14ac:dyDescent="0.25">
      <c r="B23" s="610"/>
      <c r="C23" s="253" t="s">
        <v>46</v>
      </c>
      <c r="D23" s="375" t="e">
        <f>D22/a_2023</f>
        <v>#DIV/0!</v>
      </c>
    </row>
    <row r="24" spans="2:6" ht="15" customHeight="1" x14ac:dyDescent="0.25">
      <c r="B24" s="610"/>
      <c r="C24" s="254" t="s">
        <v>47</v>
      </c>
      <c r="D24" s="376">
        <f>D22*$D$6/1000</f>
        <v>0</v>
      </c>
    </row>
    <row r="25" spans="2:6" ht="15" customHeight="1" x14ac:dyDescent="0.25">
      <c r="B25" s="610"/>
      <c r="C25" s="525" t="s">
        <v>460</v>
      </c>
      <c r="D25" s="519"/>
    </row>
    <row r="26" spans="2:6" ht="15" customHeight="1" thickBot="1" x14ac:dyDescent="0.3">
      <c r="B26" s="578"/>
      <c r="C26" s="525" t="s">
        <v>461</v>
      </c>
      <c r="D26" s="519"/>
    </row>
    <row r="27" spans="2:6" ht="15" customHeight="1" x14ac:dyDescent="0.25">
      <c r="B27" s="577">
        <f>ÜLDANDMED!E11</f>
        <v>2024</v>
      </c>
      <c r="C27" s="251" t="s">
        <v>44</v>
      </c>
      <c r="D27" s="377"/>
    </row>
    <row r="28" spans="2:6" ht="15" customHeight="1" x14ac:dyDescent="0.25">
      <c r="B28" s="610"/>
      <c r="C28" s="252" t="s">
        <v>45</v>
      </c>
      <c r="D28" s="375">
        <f>D27*$D$5</f>
        <v>0</v>
      </c>
    </row>
    <row r="29" spans="2:6" ht="15" customHeight="1" x14ac:dyDescent="0.25">
      <c r="B29" s="610"/>
      <c r="C29" s="253" t="s">
        <v>46</v>
      </c>
      <c r="D29" s="375" t="e">
        <f>D28/a_2024</f>
        <v>#DIV/0!</v>
      </c>
    </row>
    <row r="30" spans="2:6" ht="15" customHeight="1" x14ac:dyDescent="0.25">
      <c r="B30" s="610"/>
      <c r="C30" s="254" t="s">
        <v>47</v>
      </c>
      <c r="D30" s="376">
        <f>D28*$D$6/1000</f>
        <v>0</v>
      </c>
    </row>
    <row r="31" spans="2:6" ht="15" customHeight="1" x14ac:dyDescent="0.25">
      <c r="B31" s="610"/>
      <c r="C31" s="525" t="s">
        <v>460</v>
      </c>
      <c r="D31" s="519"/>
    </row>
    <row r="32" spans="2:6" ht="15" customHeight="1" thickBot="1" x14ac:dyDescent="0.3">
      <c r="B32" s="578"/>
      <c r="C32" s="525" t="s">
        <v>461</v>
      </c>
      <c r="D32" s="519"/>
    </row>
    <row r="33" spans="2:4" ht="15" customHeight="1" x14ac:dyDescent="0.25">
      <c r="B33" s="577">
        <f>ÜLDANDMED!F11</f>
        <v>2025</v>
      </c>
      <c r="C33" s="251" t="s">
        <v>44</v>
      </c>
      <c r="D33" s="377"/>
    </row>
    <row r="34" spans="2:4" ht="15" customHeight="1" x14ac:dyDescent="0.25">
      <c r="B34" s="610"/>
      <c r="C34" s="252" t="s">
        <v>45</v>
      </c>
      <c r="D34" s="375">
        <f>D33*$D$5</f>
        <v>0</v>
      </c>
    </row>
    <row r="35" spans="2:4" ht="15" customHeight="1" x14ac:dyDescent="0.25">
      <c r="B35" s="610"/>
      <c r="C35" s="253" t="s">
        <v>46</v>
      </c>
      <c r="D35" s="375" t="e">
        <f>D34/a_2025</f>
        <v>#DIV/0!</v>
      </c>
    </row>
    <row r="36" spans="2:4" ht="15" customHeight="1" x14ac:dyDescent="0.25">
      <c r="B36" s="610"/>
      <c r="C36" s="254" t="s">
        <v>47</v>
      </c>
      <c r="D36" s="376">
        <f>D34*$D$6/1000</f>
        <v>0</v>
      </c>
    </row>
    <row r="37" spans="2:4" ht="15" customHeight="1" x14ac:dyDescent="0.25">
      <c r="B37" s="610"/>
      <c r="C37" s="525" t="s">
        <v>460</v>
      </c>
      <c r="D37" s="519"/>
    </row>
    <row r="38" spans="2:4" ht="15" customHeight="1" thickBot="1" x14ac:dyDescent="0.3">
      <c r="B38" s="578"/>
      <c r="C38" s="525" t="s">
        <v>461</v>
      </c>
      <c r="D38" s="519"/>
    </row>
    <row r="39" spans="2:4" ht="15" customHeight="1" x14ac:dyDescent="0.25">
      <c r="B39" s="577">
        <f>ÜLDANDMED!G11</f>
        <v>2026</v>
      </c>
      <c r="C39" s="251" t="s">
        <v>44</v>
      </c>
      <c r="D39" s="377"/>
    </row>
    <row r="40" spans="2:4" ht="15" customHeight="1" x14ac:dyDescent="0.25">
      <c r="B40" s="610"/>
      <c r="C40" s="252" t="s">
        <v>45</v>
      </c>
      <c r="D40" s="375">
        <f>D39*$D$5</f>
        <v>0</v>
      </c>
    </row>
    <row r="41" spans="2:4" ht="15" customHeight="1" x14ac:dyDescent="0.25">
      <c r="B41" s="610"/>
      <c r="C41" s="253" t="s">
        <v>46</v>
      </c>
      <c r="D41" s="375" t="e">
        <f>D40/a_2026</f>
        <v>#DIV/0!</v>
      </c>
    </row>
    <row r="42" spans="2:4" ht="15" customHeight="1" x14ac:dyDescent="0.25">
      <c r="B42" s="610"/>
      <c r="C42" s="254" t="s">
        <v>47</v>
      </c>
      <c r="D42" s="376">
        <f>D40*$D$6/1000</f>
        <v>0</v>
      </c>
    </row>
    <row r="43" spans="2:4" ht="15" customHeight="1" x14ac:dyDescent="0.25">
      <c r="B43" s="610"/>
      <c r="C43" s="525" t="s">
        <v>460</v>
      </c>
      <c r="D43" s="519"/>
    </row>
    <row r="44" spans="2:4" ht="15" customHeight="1" thickBot="1" x14ac:dyDescent="0.3">
      <c r="B44" s="578"/>
      <c r="C44" s="525" t="s">
        <v>461</v>
      </c>
      <c r="D44" s="519"/>
    </row>
    <row r="45" spans="2:4" ht="15" customHeight="1" x14ac:dyDescent="0.25">
      <c r="B45" s="577">
        <f>ÜLDANDMED!H11</f>
        <v>2027</v>
      </c>
      <c r="C45" s="251" t="s">
        <v>44</v>
      </c>
      <c r="D45" s="377"/>
    </row>
    <row r="46" spans="2:4" ht="15" customHeight="1" x14ac:dyDescent="0.25">
      <c r="B46" s="610"/>
      <c r="C46" s="252" t="s">
        <v>45</v>
      </c>
      <c r="D46" s="375">
        <f>D45*$D$5</f>
        <v>0</v>
      </c>
    </row>
    <row r="47" spans="2:4" ht="15" customHeight="1" x14ac:dyDescent="0.25">
      <c r="B47" s="610"/>
      <c r="C47" s="253" t="s">
        <v>46</v>
      </c>
      <c r="D47" s="375" t="e">
        <f>D46/a_2027</f>
        <v>#DIV/0!</v>
      </c>
    </row>
    <row r="48" spans="2:4" ht="15" customHeight="1" x14ac:dyDescent="0.25">
      <c r="B48" s="610"/>
      <c r="C48" s="254" t="s">
        <v>47</v>
      </c>
      <c r="D48" s="376">
        <f>D46*$D$6/1000</f>
        <v>0</v>
      </c>
    </row>
    <row r="49" spans="2:4" ht="15" customHeight="1" x14ac:dyDescent="0.25">
      <c r="B49" s="610"/>
      <c r="C49" s="525" t="s">
        <v>460</v>
      </c>
      <c r="D49" s="519"/>
    </row>
    <row r="50" spans="2:4" ht="15" customHeight="1" thickBot="1" x14ac:dyDescent="0.3">
      <c r="B50" s="578"/>
      <c r="C50" s="525" t="s">
        <v>461</v>
      </c>
      <c r="D50" s="519"/>
    </row>
    <row r="51" spans="2:4" ht="15" customHeight="1" x14ac:dyDescent="0.25">
      <c r="B51" s="577">
        <f>ÜLDANDMED!I11</f>
        <v>2028</v>
      </c>
      <c r="C51" s="251" t="s">
        <v>44</v>
      </c>
      <c r="D51" s="377"/>
    </row>
    <row r="52" spans="2:4" ht="15" customHeight="1" x14ac:dyDescent="0.25">
      <c r="B52" s="610"/>
      <c r="C52" s="252" t="s">
        <v>45</v>
      </c>
      <c r="D52" s="375">
        <f>D51*$D$5</f>
        <v>0</v>
      </c>
    </row>
    <row r="53" spans="2:4" ht="15" customHeight="1" x14ac:dyDescent="0.25">
      <c r="B53" s="610"/>
      <c r="C53" s="253" t="s">
        <v>46</v>
      </c>
      <c r="D53" s="375" t="e">
        <f>D52/a_2028</f>
        <v>#DIV/0!</v>
      </c>
    </row>
    <row r="54" spans="2:4" ht="15" customHeight="1" x14ac:dyDescent="0.25">
      <c r="B54" s="610"/>
      <c r="C54" s="522" t="s">
        <v>47</v>
      </c>
      <c r="D54" s="526">
        <f>D52*$D$6/1000</f>
        <v>0</v>
      </c>
    </row>
    <row r="55" spans="2:4" ht="15" customHeight="1" x14ac:dyDescent="0.25">
      <c r="B55" s="610"/>
      <c r="C55" s="527" t="s">
        <v>460</v>
      </c>
      <c r="D55" s="520"/>
    </row>
    <row r="56" spans="2:4" ht="15" customHeight="1" thickBot="1" x14ac:dyDescent="0.3">
      <c r="B56" s="578"/>
      <c r="C56" s="528" t="s">
        <v>461</v>
      </c>
      <c r="D56" s="521"/>
    </row>
  </sheetData>
  <mergeCells count="13">
    <mergeCell ref="B51:B56"/>
    <mergeCell ref="B13:B14"/>
    <mergeCell ref="D13:D14"/>
    <mergeCell ref="B9:C9"/>
    <mergeCell ref="C13:C14"/>
    <mergeCell ref="B15:B20"/>
    <mergeCell ref="B21:B26"/>
    <mergeCell ref="B4:K4"/>
    <mergeCell ref="B27:B32"/>
    <mergeCell ref="B33:B38"/>
    <mergeCell ref="B39:B44"/>
    <mergeCell ref="B45:B50"/>
    <mergeCell ref="B7:I7"/>
  </mergeCell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BA12"/>
    <pageSetUpPr fitToPage="1"/>
  </sheetPr>
  <dimension ref="A2:U203"/>
  <sheetViews>
    <sheetView showGridLines="0" showWhiteSpace="0" zoomScaleNormal="100" workbookViewId="0">
      <pane xSplit="1" ySplit="2" topLeftCell="B3" activePane="bottomRight" state="frozen"/>
      <selection pane="topRight" activeCell="B1" sqref="B1"/>
      <selection pane="bottomLeft" activeCell="A3" sqref="A3"/>
      <selection pane="bottomRight" activeCell="D35" sqref="D35:O35"/>
    </sheetView>
  </sheetViews>
  <sheetFormatPr defaultRowHeight="15" x14ac:dyDescent="0.25"/>
  <cols>
    <col min="1" max="1" width="2.5703125" customWidth="1"/>
    <col min="2" max="2" width="7.5703125" style="3" customWidth="1"/>
    <col min="3" max="3" width="57.7109375" style="3" bestFit="1" customWidth="1"/>
    <col min="4" max="15" width="10.7109375" style="3" customWidth="1"/>
    <col min="16" max="16" width="15.7109375" style="3" customWidth="1"/>
  </cols>
  <sheetData>
    <row r="2" spans="1:18" ht="18.600000000000001" customHeight="1" x14ac:dyDescent="0.3">
      <c r="B2" s="75" t="s">
        <v>48</v>
      </c>
    </row>
    <row r="3" spans="1:18" ht="15" customHeight="1" x14ac:dyDescent="0.3">
      <c r="C3" s="109"/>
    </row>
    <row r="4" spans="1:18" ht="64.5" customHeight="1" x14ac:dyDescent="0.25">
      <c r="B4" s="620" t="s">
        <v>395</v>
      </c>
      <c r="C4" s="621"/>
      <c r="D4" s="621"/>
      <c r="E4" s="621"/>
      <c r="F4" s="621"/>
      <c r="G4" s="621"/>
      <c r="H4" s="621"/>
      <c r="I4" s="621"/>
      <c r="J4" s="621"/>
      <c r="K4" s="621"/>
      <c r="L4" s="621"/>
      <c r="M4" s="621"/>
      <c r="N4" s="621"/>
      <c r="O4" s="621"/>
      <c r="P4" s="622"/>
    </row>
    <row r="5" spans="1:18" s="62" customFormat="1" ht="15" customHeight="1" x14ac:dyDescent="0.25">
      <c r="A5" s="61"/>
      <c r="B5" s="119"/>
      <c r="C5" s="134" t="s">
        <v>49</v>
      </c>
      <c r="D5" s="121" t="s">
        <v>50</v>
      </c>
      <c r="E5" s="122">
        <v>0.2</v>
      </c>
      <c r="F5" s="123" t="s">
        <v>51</v>
      </c>
      <c r="G5" s="122">
        <f>E5*1000</f>
        <v>200</v>
      </c>
      <c r="H5" s="123" t="s">
        <v>52</v>
      </c>
      <c r="I5"/>
      <c r="J5"/>
      <c r="K5"/>
      <c r="L5"/>
      <c r="M5"/>
      <c r="N5"/>
      <c r="P5" s="120"/>
    </row>
    <row r="6" spans="1:18" s="62" customFormat="1" ht="15" customHeight="1" x14ac:dyDescent="0.25">
      <c r="A6" s="61"/>
      <c r="B6" s="119"/>
      <c r="C6" s="134" t="s">
        <v>53</v>
      </c>
      <c r="D6" s="121" t="s">
        <v>50</v>
      </c>
      <c r="E6" s="122">
        <v>0.16</v>
      </c>
      <c r="F6" s="123" t="s">
        <v>51</v>
      </c>
      <c r="G6" s="122">
        <f t="shared" ref="G6:G9" si="0">E6*1000</f>
        <v>160</v>
      </c>
      <c r="H6" s="123" t="s">
        <v>52</v>
      </c>
      <c r="I6"/>
      <c r="J6"/>
      <c r="K6"/>
      <c r="L6"/>
      <c r="M6"/>
      <c r="N6"/>
      <c r="P6" s="120"/>
    </row>
    <row r="7" spans="1:18" s="62" customFormat="1" ht="15" customHeight="1" x14ac:dyDescent="0.25">
      <c r="A7" s="61"/>
      <c r="B7" s="119"/>
      <c r="C7" s="134" t="s">
        <v>54</v>
      </c>
      <c r="D7" s="121" t="s">
        <v>50</v>
      </c>
      <c r="E7" s="122">
        <v>0.05</v>
      </c>
      <c r="F7" s="123" t="s">
        <v>51</v>
      </c>
      <c r="G7" s="122">
        <f t="shared" si="0"/>
        <v>50</v>
      </c>
      <c r="H7" s="123" t="s">
        <v>52</v>
      </c>
      <c r="I7"/>
      <c r="J7"/>
      <c r="K7"/>
      <c r="L7"/>
      <c r="M7"/>
      <c r="N7"/>
      <c r="P7" s="120"/>
    </row>
    <row r="8" spans="1:18" s="62" customFormat="1" ht="15" customHeight="1" x14ac:dyDescent="0.25">
      <c r="A8" s="61"/>
      <c r="B8" s="119"/>
      <c r="C8" s="134" t="s">
        <v>55</v>
      </c>
      <c r="D8" s="121" t="s">
        <v>50</v>
      </c>
      <c r="E8" s="124">
        <v>0.05</v>
      </c>
      <c r="F8" s="123" t="s">
        <v>51</v>
      </c>
      <c r="G8" s="122">
        <f t="shared" si="0"/>
        <v>50</v>
      </c>
      <c r="H8" s="123" t="s">
        <v>52</v>
      </c>
      <c r="I8"/>
      <c r="J8"/>
      <c r="K8"/>
      <c r="L8"/>
      <c r="M8"/>
      <c r="N8"/>
      <c r="P8" s="120"/>
    </row>
    <row r="9" spans="1:18" s="62" customFormat="1" ht="15" customHeight="1" x14ac:dyDescent="0.25">
      <c r="A9" s="61"/>
      <c r="B9" s="119"/>
      <c r="C9" s="123" t="s">
        <v>56</v>
      </c>
      <c r="D9" s="121" t="s">
        <v>50</v>
      </c>
      <c r="E9" s="122">
        <v>0.1</v>
      </c>
      <c r="F9" s="123" t="s">
        <v>51</v>
      </c>
      <c r="G9" s="122">
        <f t="shared" si="0"/>
        <v>100</v>
      </c>
      <c r="H9" s="123" t="s">
        <v>52</v>
      </c>
      <c r="I9"/>
      <c r="J9"/>
      <c r="K9"/>
      <c r="L9"/>
      <c r="M9"/>
      <c r="N9"/>
      <c r="P9" s="120"/>
    </row>
    <row r="10" spans="1:18" s="62" customFormat="1" ht="139.5" customHeight="1" x14ac:dyDescent="0.25">
      <c r="A10" s="61"/>
      <c r="B10" s="623" t="s">
        <v>500</v>
      </c>
      <c r="C10" s="624"/>
      <c r="D10" s="624"/>
      <c r="E10" s="624"/>
      <c r="F10" s="624"/>
      <c r="G10" s="624"/>
      <c r="H10" s="624"/>
      <c r="I10" s="624"/>
      <c r="J10" s="624"/>
      <c r="K10" s="624"/>
      <c r="L10" s="624"/>
      <c r="M10" s="624"/>
      <c r="N10" s="624"/>
      <c r="O10" s="624"/>
      <c r="P10" s="625"/>
    </row>
    <row r="11" spans="1:18" s="62" customFormat="1" ht="15" customHeight="1" x14ac:dyDescent="0.25">
      <c r="A11" s="61"/>
      <c r="B11" s="101"/>
      <c r="C11" s="170"/>
      <c r="D11" s="16"/>
      <c r="E11" s="16"/>
      <c r="F11" s="16"/>
      <c r="M11"/>
    </row>
    <row r="12" spans="1:18" ht="14.65" customHeight="1" x14ac:dyDescent="0.25">
      <c r="A12" s="1"/>
      <c r="B12" s="567" t="s">
        <v>2</v>
      </c>
      <c r="C12" s="567"/>
      <c r="D12" s="38"/>
      <c r="E12" s="24"/>
      <c r="F12" s="24"/>
      <c r="G12" s="24"/>
      <c r="H12" s="24"/>
      <c r="I12" s="24"/>
      <c r="J12" s="24"/>
      <c r="K12" s="24"/>
      <c r="L12" s="24"/>
      <c r="M12" s="24"/>
      <c r="N12" s="24"/>
      <c r="O12" s="24"/>
      <c r="P12" s="57"/>
      <c r="Q12" s="18"/>
    </row>
    <row r="13" spans="1:18" ht="14.65" customHeight="1" x14ac:dyDescent="0.25">
      <c r="A13" s="1"/>
      <c r="C13" s="378" t="s">
        <v>57</v>
      </c>
      <c r="D13" s="24"/>
      <c r="G13" s="24"/>
      <c r="H13" s="24"/>
      <c r="I13" s="24"/>
      <c r="J13" s="24"/>
      <c r="K13" s="24"/>
      <c r="L13" s="24"/>
      <c r="M13" s="24"/>
      <c r="N13" s="24"/>
      <c r="O13" s="24"/>
      <c r="P13" s="57"/>
      <c r="Q13" s="18"/>
    </row>
    <row r="14" spans="1:18" ht="14.65" customHeight="1" x14ac:dyDescent="0.25">
      <c r="A14" s="1"/>
      <c r="C14" s="340" t="s">
        <v>4</v>
      </c>
      <c r="D14" s="24"/>
      <c r="G14" s="24"/>
      <c r="H14" s="24"/>
      <c r="I14" s="24"/>
      <c r="J14" s="24"/>
      <c r="K14" s="24"/>
      <c r="L14" s="24"/>
      <c r="M14" s="24"/>
      <c r="N14" s="24"/>
      <c r="O14" s="24"/>
      <c r="P14" s="57"/>
      <c r="Q14" s="18"/>
    </row>
    <row r="15" spans="1:18" s="19" customFormat="1" ht="14.65" customHeight="1" x14ac:dyDescent="0.25">
      <c r="C15" s="150" t="s">
        <v>7</v>
      </c>
      <c r="F15" s="20"/>
      <c r="G15" s="20"/>
      <c r="H15" s="20"/>
      <c r="I15" s="20"/>
      <c r="J15" s="20"/>
      <c r="K15" s="20"/>
      <c r="L15" s="20"/>
      <c r="M15" s="20"/>
      <c r="N15" s="20"/>
      <c r="O15" s="51"/>
      <c r="P15" s="52"/>
      <c r="Q15"/>
      <c r="R15"/>
    </row>
    <row r="16" spans="1:18" ht="15.75" thickBot="1" x14ac:dyDescent="0.3">
      <c r="A16" s="7"/>
      <c r="B16" s="6"/>
      <c r="D16" s="24"/>
      <c r="E16" s="24"/>
      <c r="F16" s="24"/>
      <c r="G16" s="24"/>
      <c r="H16" s="24"/>
      <c r="I16" s="24"/>
      <c r="J16" s="24"/>
      <c r="K16" s="24"/>
      <c r="L16" s="24"/>
      <c r="M16" s="24"/>
      <c r="N16" s="24"/>
      <c r="O16" s="24"/>
      <c r="P16" s="57"/>
      <c r="Q16" s="18"/>
    </row>
    <row r="17" spans="2:21" x14ac:dyDescent="0.25">
      <c r="B17" s="591" t="s">
        <v>9</v>
      </c>
      <c r="C17" s="615" t="s">
        <v>10</v>
      </c>
      <c r="D17" s="617" t="s">
        <v>11</v>
      </c>
      <c r="E17" s="588" t="s">
        <v>12</v>
      </c>
      <c r="F17" s="588" t="s">
        <v>13</v>
      </c>
      <c r="G17" s="588" t="s">
        <v>14</v>
      </c>
      <c r="H17" s="588" t="s">
        <v>15</v>
      </c>
      <c r="I17" s="588" t="s">
        <v>16</v>
      </c>
      <c r="J17" s="588" t="s">
        <v>17</v>
      </c>
      <c r="K17" s="588" t="s">
        <v>18</v>
      </c>
      <c r="L17" s="588" t="s">
        <v>19</v>
      </c>
      <c r="M17" s="588" t="s">
        <v>20</v>
      </c>
      <c r="N17" s="588" t="s">
        <v>21</v>
      </c>
      <c r="O17" s="618" t="s">
        <v>22</v>
      </c>
      <c r="P17" s="591" t="s">
        <v>23</v>
      </c>
    </row>
    <row r="18" spans="2:21" ht="15.75" thickBot="1" x14ac:dyDescent="0.3">
      <c r="B18" s="593"/>
      <c r="C18" s="616"/>
      <c r="D18" s="606"/>
      <c r="E18" s="590"/>
      <c r="F18" s="590"/>
      <c r="G18" s="590"/>
      <c r="H18" s="590"/>
      <c r="I18" s="590"/>
      <c r="J18" s="590"/>
      <c r="K18" s="590"/>
      <c r="L18" s="590"/>
      <c r="M18" s="590"/>
      <c r="N18" s="590"/>
      <c r="O18" s="619"/>
      <c r="P18" s="593"/>
    </row>
    <row r="19" spans="2:21" ht="14.65" customHeight="1" x14ac:dyDescent="0.25">
      <c r="B19" s="104">
        <f>ÜLDANDMED!C11</f>
        <v>2022</v>
      </c>
      <c r="C19" s="110" t="s">
        <v>58</v>
      </c>
      <c r="D19" s="333"/>
      <c r="E19" s="333"/>
      <c r="F19" s="333"/>
      <c r="G19" s="333"/>
      <c r="H19" s="333"/>
      <c r="I19" s="333"/>
      <c r="J19" s="333"/>
      <c r="K19" s="333"/>
      <c r="L19" s="333"/>
      <c r="M19" s="333"/>
      <c r="N19" s="333"/>
      <c r="O19" s="333"/>
      <c r="P19" s="367">
        <f>SUM(D19:O19)</f>
        <v>0</v>
      </c>
    </row>
    <row r="20" spans="2:21" s="2" customFormat="1" ht="14.65" customHeight="1" x14ac:dyDescent="0.25">
      <c r="B20" s="105"/>
      <c r="C20" s="46" t="s">
        <v>59</v>
      </c>
      <c r="D20" s="380">
        <f>D19*$G$5</f>
        <v>0</v>
      </c>
      <c r="E20" s="380">
        <f t="shared" ref="E20:O20" si="1">E19*$G$5</f>
        <v>0</v>
      </c>
      <c r="F20" s="380">
        <f t="shared" si="1"/>
        <v>0</v>
      </c>
      <c r="G20" s="380">
        <f t="shared" si="1"/>
        <v>0</v>
      </c>
      <c r="H20" s="380">
        <f t="shared" si="1"/>
        <v>0</v>
      </c>
      <c r="I20" s="380">
        <f t="shared" si="1"/>
        <v>0</v>
      </c>
      <c r="J20" s="380">
        <f t="shared" si="1"/>
        <v>0</v>
      </c>
      <c r="K20" s="380">
        <f t="shared" si="1"/>
        <v>0</v>
      </c>
      <c r="L20" s="380">
        <f t="shared" si="1"/>
        <v>0</v>
      </c>
      <c r="M20" s="380">
        <f t="shared" si="1"/>
        <v>0</v>
      </c>
      <c r="N20" s="380">
        <f t="shared" si="1"/>
        <v>0</v>
      </c>
      <c r="O20" s="380">
        <f t="shared" si="1"/>
        <v>0</v>
      </c>
      <c r="P20" s="367">
        <f>SUM(D20:O20)</f>
        <v>0</v>
      </c>
      <c r="R20"/>
      <c r="S20"/>
      <c r="T20"/>
      <c r="U20"/>
    </row>
    <row r="21" spans="2:21" s="2" customFormat="1" ht="14.65" customHeight="1" thickBot="1" x14ac:dyDescent="0.3">
      <c r="B21" s="105"/>
      <c r="C21" s="321" t="s">
        <v>60</v>
      </c>
      <c r="D21" s="379"/>
      <c r="E21" s="379"/>
      <c r="F21" s="379"/>
      <c r="G21" s="379"/>
      <c r="H21" s="379"/>
      <c r="I21" s="379"/>
      <c r="J21" s="379"/>
      <c r="K21" s="379"/>
      <c r="L21" s="379"/>
      <c r="M21" s="379"/>
      <c r="N21" s="379"/>
      <c r="O21" s="379"/>
      <c r="P21" s="366">
        <f>SUM(D21:O21)</f>
        <v>0</v>
      </c>
      <c r="R21"/>
      <c r="S21"/>
      <c r="T21"/>
      <c r="U21"/>
    </row>
    <row r="22" spans="2:21" s="2" customFormat="1" ht="14.65" customHeight="1" x14ac:dyDescent="0.25">
      <c r="B22" s="105"/>
      <c r="C22" s="320" t="s">
        <v>61</v>
      </c>
      <c r="D22" s="333"/>
      <c r="E22" s="333"/>
      <c r="F22" s="333"/>
      <c r="G22" s="333"/>
      <c r="H22" s="333"/>
      <c r="I22" s="333"/>
      <c r="J22" s="333"/>
      <c r="K22" s="333"/>
      <c r="L22" s="333"/>
      <c r="M22" s="333"/>
      <c r="N22" s="333"/>
      <c r="O22" s="333"/>
      <c r="P22" s="383">
        <f t="shared" ref="P22:P23" si="2">SUM(D22:O22)</f>
        <v>0</v>
      </c>
      <c r="R22"/>
      <c r="S22"/>
      <c r="T22"/>
      <c r="U22"/>
    </row>
    <row r="23" spans="2:21" s="2" customFormat="1" ht="14.65" customHeight="1" x14ac:dyDescent="0.25">
      <c r="B23" s="105"/>
      <c r="C23" s="46" t="s">
        <v>62</v>
      </c>
      <c r="D23" s="380">
        <f t="shared" ref="D23:O23" si="3">D22*$G$6</f>
        <v>0</v>
      </c>
      <c r="E23" s="380">
        <f t="shared" si="3"/>
        <v>0</v>
      </c>
      <c r="F23" s="380">
        <f t="shared" si="3"/>
        <v>0</v>
      </c>
      <c r="G23" s="380">
        <f t="shared" si="3"/>
        <v>0</v>
      </c>
      <c r="H23" s="380">
        <f t="shared" si="3"/>
        <v>0</v>
      </c>
      <c r="I23" s="380">
        <f t="shared" si="3"/>
        <v>0</v>
      </c>
      <c r="J23" s="380">
        <f t="shared" si="3"/>
        <v>0</v>
      </c>
      <c r="K23" s="380">
        <f t="shared" si="3"/>
        <v>0</v>
      </c>
      <c r="L23" s="380">
        <f t="shared" si="3"/>
        <v>0</v>
      </c>
      <c r="M23" s="380">
        <f t="shared" si="3"/>
        <v>0</v>
      </c>
      <c r="N23" s="380">
        <f t="shared" si="3"/>
        <v>0</v>
      </c>
      <c r="O23" s="380">
        <f t="shared" si="3"/>
        <v>0</v>
      </c>
      <c r="P23" s="367">
        <f t="shared" si="2"/>
        <v>0</v>
      </c>
      <c r="R23"/>
      <c r="S23"/>
      <c r="T23"/>
      <c r="U23"/>
    </row>
    <row r="24" spans="2:21" s="2" customFormat="1" ht="14.65" customHeight="1" thickBot="1" x14ac:dyDescent="0.3">
      <c r="B24" s="105"/>
      <c r="C24" s="321" t="s">
        <v>63</v>
      </c>
      <c r="D24" s="379"/>
      <c r="E24" s="379"/>
      <c r="F24" s="379"/>
      <c r="G24" s="379"/>
      <c r="H24" s="379"/>
      <c r="I24" s="379"/>
      <c r="J24" s="379"/>
      <c r="K24" s="379"/>
      <c r="L24" s="379"/>
      <c r="M24" s="379"/>
      <c r="N24" s="379"/>
      <c r="O24" s="379"/>
      <c r="P24" s="366">
        <f>SUM(D24:O24)</f>
        <v>0</v>
      </c>
      <c r="R24"/>
      <c r="S24"/>
      <c r="T24"/>
      <c r="U24"/>
    </row>
    <row r="25" spans="2:21" ht="14.65" customHeight="1" x14ac:dyDescent="0.25">
      <c r="B25" s="105"/>
      <c r="C25" s="320" t="s">
        <v>64</v>
      </c>
      <c r="D25" s="333"/>
      <c r="E25" s="333"/>
      <c r="F25" s="333"/>
      <c r="G25" s="333"/>
      <c r="H25" s="333"/>
      <c r="I25" s="333"/>
      <c r="J25" s="333"/>
      <c r="K25" s="333"/>
      <c r="L25" s="333"/>
      <c r="M25" s="333"/>
      <c r="N25" s="333"/>
      <c r="O25" s="333"/>
      <c r="P25" s="383">
        <f t="shared" ref="P25:P26" si="4">SUM(D25:O25)</f>
        <v>0</v>
      </c>
    </row>
    <row r="26" spans="2:21" ht="14.65" customHeight="1" x14ac:dyDescent="0.25">
      <c r="B26" s="105"/>
      <c r="C26" s="46" t="s">
        <v>65</v>
      </c>
      <c r="D26" s="380">
        <f t="shared" ref="D26:O26" si="5">D25*$G$7</f>
        <v>0</v>
      </c>
      <c r="E26" s="380">
        <f t="shared" si="5"/>
        <v>0</v>
      </c>
      <c r="F26" s="380">
        <f t="shared" si="5"/>
        <v>0</v>
      </c>
      <c r="G26" s="380">
        <f t="shared" si="5"/>
        <v>0</v>
      </c>
      <c r="H26" s="380">
        <f t="shared" si="5"/>
        <v>0</v>
      </c>
      <c r="I26" s="380">
        <f t="shared" si="5"/>
        <v>0</v>
      </c>
      <c r="J26" s="380">
        <f t="shared" si="5"/>
        <v>0</v>
      </c>
      <c r="K26" s="380">
        <f t="shared" si="5"/>
        <v>0</v>
      </c>
      <c r="L26" s="380">
        <f t="shared" si="5"/>
        <v>0</v>
      </c>
      <c r="M26" s="380">
        <f t="shared" si="5"/>
        <v>0</v>
      </c>
      <c r="N26" s="380">
        <f t="shared" si="5"/>
        <v>0</v>
      </c>
      <c r="O26" s="380">
        <f t="shared" si="5"/>
        <v>0</v>
      </c>
      <c r="P26" s="367">
        <f t="shared" si="4"/>
        <v>0</v>
      </c>
    </row>
    <row r="27" spans="2:21" ht="14.65" customHeight="1" thickBot="1" x14ac:dyDescent="0.3">
      <c r="B27" s="105"/>
      <c r="C27" s="321" t="s">
        <v>66</v>
      </c>
      <c r="D27" s="379"/>
      <c r="E27" s="379"/>
      <c r="F27" s="379"/>
      <c r="G27" s="379"/>
      <c r="H27" s="379"/>
      <c r="I27" s="379"/>
      <c r="J27" s="379"/>
      <c r="K27" s="379"/>
      <c r="L27" s="379"/>
      <c r="M27" s="379"/>
      <c r="N27" s="379"/>
      <c r="O27" s="379"/>
      <c r="P27" s="366">
        <f>SUM(D27:O27)</f>
        <v>0</v>
      </c>
    </row>
    <row r="28" spans="2:21" ht="14.65" customHeight="1" x14ac:dyDescent="0.25">
      <c r="B28" s="105"/>
      <c r="C28" s="320" t="s">
        <v>67</v>
      </c>
      <c r="D28" s="333"/>
      <c r="E28" s="333"/>
      <c r="F28" s="333"/>
      <c r="G28" s="333"/>
      <c r="H28" s="333"/>
      <c r="I28" s="333"/>
      <c r="J28" s="333"/>
      <c r="K28" s="333"/>
      <c r="L28" s="333"/>
      <c r="M28" s="333"/>
      <c r="N28" s="333"/>
      <c r="O28" s="333"/>
      <c r="P28" s="383">
        <f t="shared" ref="P28" si="6">SUM(D28:O28)</f>
        <v>0</v>
      </c>
    </row>
    <row r="29" spans="2:21" ht="14.65" customHeight="1" x14ac:dyDescent="0.25">
      <c r="B29" s="105"/>
      <c r="C29" s="46" t="s">
        <v>68</v>
      </c>
      <c r="D29" s="380">
        <f t="shared" ref="D29:O29" si="7">D28*$G$8</f>
        <v>0</v>
      </c>
      <c r="E29" s="380">
        <f t="shared" si="7"/>
        <v>0</v>
      </c>
      <c r="F29" s="380">
        <f t="shared" si="7"/>
        <v>0</v>
      </c>
      <c r="G29" s="380">
        <f t="shared" si="7"/>
        <v>0</v>
      </c>
      <c r="H29" s="380">
        <f t="shared" si="7"/>
        <v>0</v>
      </c>
      <c r="I29" s="380">
        <f t="shared" si="7"/>
        <v>0</v>
      </c>
      <c r="J29" s="380">
        <f t="shared" si="7"/>
        <v>0</v>
      </c>
      <c r="K29" s="380">
        <f t="shared" si="7"/>
        <v>0</v>
      </c>
      <c r="L29" s="380">
        <f t="shared" si="7"/>
        <v>0</v>
      </c>
      <c r="M29" s="380">
        <f t="shared" si="7"/>
        <v>0</v>
      </c>
      <c r="N29" s="380">
        <f t="shared" si="7"/>
        <v>0</v>
      </c>
      <c r="O29" s="380">
        <f t="shared" si="7"/>
        <v>0</v>
      </c>
      <c r="P29" s="367">
        <f t="shared" ref="P29" si="8">SUM(D29:O29)</f>
        <v>0</v>
      </c>
    </row>
    <row r="30" spans="2:21" ht="14.65" customHeight="1" thickBot="1" x14ac:dyDescent="0.3">
      <c r="B30" s="105"/>
      <c r="C30" s="321" t="s">
        <v>69</v>
      </c>
      <c r="D30" s="379"/>
      <c r="E30" s="379"/>
      <c r="F30" s="379"/>
      <c r="G30" s="379"/>
      <c r="H30" s="379"/>
      <c r="I30" s="379"/>
      <c r="J30" s="379"/>
      <c r="K30" s="379"/>
      <c r="L30" s="379"/>
      <c r="M30" s="379"/>
      <c r="N30" s="379"/>
      <c r="O30" s="379"/>
      <c r="P30" s="366">
        <f>SUM(D30:O30)</f>
        <v>0</v>
      </c>
    </row>
    <row r="31" spans="2:21" ht="15.75" thickBot="1" x14ac:dyDescent="0.3">
      <c r="B31" s="105"/>
      <c r="C31" s="324" t="s">
        <v>70</v>
      </c>
      <c r="D31" s="381">
        <f>D26+D27+D23+D24+D29+D30+D20+D21</f>
        <v>0</v>
      </c>
      <c r="E31" s="381">
        <f t="shared" ref="E31:O31" si="9">E26+E27+E23+E24+E29+E30+E20+E21</f>
        <v>0</v>
      </c>
      <c r="F31" s="381">
        <f t="shared" si="9"/>
        <v>0</v>
      </c>
      <c r="G31" s="381">
        <f t="shared" si="9"/>
        <v>0</v>
      </c>
      <c r="H31" s="381">
        <f t="shared" si="9"/>
        <v>0</v>
      </c>
      <c r="I31" s="381">
        <f t="shared" si="9"/>
        <v>0</v>
      </c>
      <c r="J31" s="381">
        <f t="shared" si="9"/>
        <v>0</v>
      </c>
      <c r="K31" s="381">
        <f t="shared" si="9"/>
        <v>0</v>
      </c>
      <c r="L31" s="381">
        <f t="shared" si="9"/>
        <v>0</v>
      </c>
      <c r="M31" s="381">
        <f t="shared" si="9"/>
        <v>0</v>
      </c>
      <c r="N31" s="381">
        <f t="shared" si="9"/>
        <v>0</v>
      </c>
      <c r="O31" s="381">
        <f t="shared" si="9"/>
        <v>0</v>
      </c>
      <c r="P31" s="384">
        <f>SUM(D31:O31)</f>
        <v>0</v>
      </c>
      <c r="Q31" s="73"/>
    </row>
    <row r="32" spans="2:21" ht="15.75" x14ac:dyDescent="0.25">
      <c r="B32" s="105"/>
      <c r="C32" s="322" t="s">
        <v>71</v>
      </c>
      <c r="D32" s="370"/>
      <c r="E32" s="370"/>
      <c r="F32" s="370"/>
      <c r="G32" s="370"/>
      <c r="H32" s="370"/>
      <c r="I32" s="370"/>
      <c r="J32" s="370"/>
      <c r="K32" s="370"/>
      <c r="L32" s="370"/>
      <c r="M32" s="370"/>
      <c r="N32" s="370"/>
      <c r="O32" s="370"/>
      <c r="P32" s="383">
        <f t="shared" ref="P32:P35" si="10">SUM(D32:O32)</f>
        <v>0</v>
      </c>
      <c r="Q32" s="73"/>
    </row>
    <row r="33" spans="2:21" x14ac:dyDescent="0.25">
      <c r="B33" s="105"/>
      <c r="C33" s="92" t="s">
        <v>72</v>
      </c>
      <c r="D33" s="380">
        <f>D32*$G$9</f>
        <v>0</v>
      </c>
      <c r="E33" s="380">
        <f t="shared" ref="E33:O33" si="11">E32*$G$9</f>
        <v>0</v>
      </c>
      <c r="F33" s="380">
        <f t="shared" si="11"/>
        <v>0</v>
      </c>
      <c r="G33" s="380">
        <f t="shared" si="11"/>
        <v>0</v>
      </c>
      <c r="H33" s="380">
        <f t="shared" si="11"/>
        <v>0</v>
      </c>
      <c r="I33" s="380">
        <f t="shared" si="11"/>
        <v>0</v>
      </c>
      <c r="J33" s="380">
        <f t="shared" si="11"/>
        <v>0</v>
      </c>
      <c r="K33" s="380">
        <f t="shared" si="11"/>
        <v>0</v>
      </c>
      <c r="L33" s="380">
        <f t="shared" si="11"/>
        <v>0</v>
      </c>
      <c r="M33" s="380">
        <f t="shared" si="11"/>
        <v>0</v>
      </c>
      <c r="N33" s="380">
        <f t="shared" si="11"/>
        <v>0</v>
      </c>
      <c r="O33" s="380">
        <f t="shared" si="11"/>
        <v>0</v>
      </c>
      <c r="P33" s="367">
        <f t="shared" si="10"/>
        <v>0</v>
      </c>
      <c r="Q33" s="73"/>
    </row>
    <row r="34" spans="2:21" ht="15.75" thickBot="1" x14ac:dyDescent="0.3">
      <c r="B34" s="105"/>
      <c r="C34" s="266" t="s">
        <v>73</v>
      </c>
      <c r="D34" s="379"/>
      <c r="E34" s="379"/>
      <c r="F34" s="379"/>
      <c r="G34" s="379"/>
      <c r="H34" s="379"/>
      <c r="I34" s="379"/>
      <c r="J34" s="379"/>
      <c r="K34" s="379"/>
      <c r="L34" s="379"/>
      <c r="M34" s="379"/>
      <c r="N34" s="379"/>
      <c r="O34" s="379"/>
      <c r="P34" s="366">
        <f>SUM(D34:O34)</f>
        <v>0</v>
      </c>
      <c r="Q34" s="73"/>
    </row>
    <row r="35" spans="2:21" ht="15.75" x14ac:dyDescent="0.25">
      <c r="B35" s="105"/>
      <c r="C35" s="322" t="s">
        <v>74</v>
      </c>
      <c r="D35" s="333"/>
      <c r="E35" s="333"/>
      <c r="F35" s="333"/>
      <c r="G35" s="333"/>
      <c r="H35" s="333"/>
      <c r="I35" s="333"/>
      <c r="J35" s="333"/>
      <c r="K35" s="333"/>
      <c r="L35" s="333"/>
      <c r="M35" s="333"/>
      <c r="N35" s="333"/>
      <c r="O35" s="333"/>
      <c r="P35" s="383">
        <f t="shared" si="10"/>
        <v>0</v>
      </c>
      <c r="Q35" s="73"/>
    </row>
    <row r="36" spans="2:21" ht="14.65" customHeight="1" x14ac:dyDescent="0.25">
      <c r="B36" s="105"/>
      <c r="C36" s="92" t="s">
        <v>75</v>
      </c>
      <c r="D36" s="380">
        <f t="shared" ref="D36:O36" si="12">D35*$G$9</f>
        <v>0</v>
      </c>
      <c r="E36" s="380">
        <f t="shared" si="12"/>
        <v>0</v>
      </c>
      <c r="F36" s="380">
        <f t="shared" si="12"/>
        <v>0</v>
      </c>
      <c r="G36" s="380">
        <f t="shared" si="12"/>
        <v>0</v>
      </c>
      <c r="H36" s="380">
        <f t="shared" si="12"/>
        <v>0</v>
      </c>
      <c r="I36" s="380">
        <f t="shared" si="12"/>
        <v>0</v>
      </c>
      <c r="J36" s="380">
        <f t="shared" si="12"/>
        <v>0</v>
      </c>
      <c r="K36" s="380">
        <f t="shared" si="12"/>
        <v>0</v>
      </c>
      <c r="L36" s="380">
        <f t="shared" si="12"/>
        <v>0</v>
      </c>
      <c r="M36" s="380">
        <f t="shared" si="12"/>
        <v>0</v>
      </c>
      <c r="N36" s="380">
        <f t="shared" si="12"/>
        <v>0</v>
      </c>
      <c r="O36" s="380">
        <f t="shared" si="12"/>
        <v>0</v>
      </c>
      <c r="P36" s="383">
        <f t="shared" ref="P36:P39" si="13">SUM(D36:O36)</f>
        <v>0</v>
      </c>
    </row>
    <row r="37" spans="2:21" ht="14.65" customHeight="1" thickBot="1" x14ac:dyDescent="0.3">
      <c r="B37" s="105"/>
      <c r="C37" s="266" t="s">
        <v>76</v>
      </c>
      <c r="D37" s="379"/>
      <c r="E37" s="379"/>
      <c r="F37" s="379"/>
      <c r="G37" s="379"/>
      <c r="H37" s="379"/>
      <c r="I37" s="379"/>
      <c r="J37" s="379"/>
      <c r="K37" s="379"/>
      <c r="L37" s="379"/>
      <c r="M37" s="379"/>
      <c r="N37" s="379"/>
      <c r="O37" s="379"/>
      <c r="P37" s="366">
        <f>SUM(D37:O37)</f>
        <v>0</v>
      </c>
    </row>
    <row r="38" spans="2:21" ht="14.65" customHeight="1" thickBot="1" x14ac:dyDescent="0.3">
      <c r="B38" s="105"/>
      <c r="C38" s="325" t="s">
        <v>77</v>
      </c>
      <c r="D38" s="381">
        <f>D33+D34+D36+D37</f>
        <v>0</v>
      </c>
      <c r="E38" s="381">
        <f t="shared" ref="E38:O38" si="14">E33+E34+E36+E37</f>
        <v>0</v>
      </c>
      <c r="F38" s="381">
        <f t="shared" si="14"/>
        <v>0</v>
      </c>
      <c r="G38" s="381">
        <f t="shared" si="14"/>
        <v>0</v>
      </c>
      <c r="H38" s="381">
        <f t="shared" si="14"/>
        <v>0</v>
      </c>
      <c r="I38" s="381">
        <f t="shared" si="14"/>
        <v>0</v>
      </c>
      <c r="J38" s="381">
        <f t="shared" si="14"/>
        <v>0</v>
      </c>
      <c r="K38" s="381">
        <f t="shared" si="14"/>
        <v>0</v>
      </c>
      <c r="L38" s="381">
        <f t="shared" si="14"/>
        <v>0</v>
      </c>
      <c r="M38" s="381">
        <f t="shared" si="14"/>
        <v>0</v>
      </c>
      <c r="N38" s="381">
        <f t="shared" si="14"/>
        <v>0</v>
      </c>
      <c r="O38" s="381">
        <f t="shared" si="14"/>
        <v>0</v>
      </c>
      <c r="P38" s="384">
        <f t="shared" si="13"/>
        <v>0</v>
      </c>
    </row>
    <row r="39" spans="2:21" ht="15.75" thickBot="1" x14ac:dyDescent="0.3">
      <c r="B39" s="105"/>
      <c r="C39" s="324" t="s">
        <v>78</v>
      </c>
      <c r="D39" s="381">
        <f>D31+D38</f>
        <v>0</v>
      </c>
      <c r="E39" s="381">
        <f t="shared" ref="E39:O39" si="15">E31+E38</f>
        <v>0</v>
      </c>
      <c r="F39" s="381">
        <f t="shared" si="15"/>
        <v>0</v>
      </c>
      <c r="G39" s="381">
        <f t="shared" si="15"/>
        <v>0</v>
      </c>
      <c r="H39" s="381">
        <f t="shared" si="15"/>
        <v>0</v>
      </c>
      <c r="I39" s="381">
        <f t="shared" si="15"/>
        <v>0</v>
      </c>
      <c r="J39" s="381">
        <f t="shared" si="15"/>
        <v>0</v>
      </c>
      <c r="K39" s="381">
        <f t="shared" si="15"/>
        <v>0</v>
      </c>
      <c r="L39" s="381">
        <f t="shared" si="15"/>
        <v>0</v>
      </c>
      <c r="M39" s="381">
        <f t="shared" si="15"/>
        <v>0</v>
      </c>
      <c r="N39" s="381">
        <f t="shared" si="15"/>
        <v>0</v>
      </c>
      <c r="O39" s="381">
        <f t="shared" si="15"/>
        <v>0</v>
      </c>
      <c r="P39" s="384">
        <f t="shared" si="13"/>
        <v>0</v>
      </c>
    </row>
    <row r="40" spans="2:21" x14ac:dyDescent="0.25">
      <c r="B40" s="105"/>
      <c r="C40" s="326" t="s">
        <v>370</v>
      </c>
      <c r="D40" s="513"/>
      <c r="E40" s="513"/>
      <c r="F40" s="513"/>
      <c r="G40" s="513"/>
      <c r="H40" s="513"/>
      <c r="I40" s="513"/>
      <c r="J40" s="513"/>
      <c r="K40" s="513"/>
      <c r="L40" s="513"/>
      <c r="M40" s="513"/>
      <c r="N40" s="513"/>
      <c r="O40" s="513"/>
      <c r="P40" s="351" t="e">
        <f>P39/b_2022</f>
        <v>#DIV/0!</v>
      </c>
    </row>
    <row r="41" spans="2:21" ht="15.75" thickBot="1" x14ac:dyDescent="0.3">
      <c r="B41" s="106"/>
      <c r="C41" s="163" t="s">
        <v>79</v>
      </c>
      <c r="D41" s="382" t="e">
        <f>D31/D39</f>
        <v>#DIV/0!</v>
      </c>
      <c r="E41" s="382" t="e">
        <f t="shared" ref="E41:P41" si="16">E31/E39</f>
        <v>#DIV/0!</v>
      </c>
      <c r="F41" s="382" t="e">
        <f t="shared" si="16"/>
        <v>#DIV/0!</v>
      </c>
      <c r="G41" s="382" t="e">
        <f t="shared" si="16"/>
        <v>#DIV/0!</v>
      </c>
      <c r="H41" s="382" t="e">
        <f t="shared" si="16"/>
        <v>#DIV/0!</v>
      </c>
      <c r="I41" s="382" t="e">
        <f t="shared" si="16"/>
        <v>#DIV/0!</v>
      </c>
      <c r="J41" s="382" t="e">
        <f t="shared" si="16"/>
        <v>#DIV/0!</v>
      </c>
      <c r="K41" s="382" t="e">
        <f t="shared" si="16"/>
        <v>#DIV/0!</v>
      </c>
      <c r="L41" s="382" t="e">
        <f t="shared" si="16"/>
        <v>#DIV/0!</v>
      </c>
      <c r="M41" s="382" t="e">
        <f t="shared" si="16"/>
        <v>#DIV/0!</v>
      </c>
      <c r="N41" s="382" t="e">
        <f t="shared" si="16"/>
        <v>#DIV/0!</v>
      </c>
      <c r="O41" s="382" t="e">
        <f t="shared" si="16"/>
        <v>#DIV/0!</v>
      </c>
      <c r="P41" s="385" t="e">
        <f t="shared" si="16"/>
        <v>#DIV/0!</v>
      </c>
      <c r="Q41" s="97"/>
    </row>
    <row r="42" spans="2:21" ht="14.65" customHeight="1" x14ac:dyDescent="0.25">
      <c r="B42" s="39"/>
      <c r="C42" s="323"/>
      <c r="D42" s="15"/>
      <c r="E42" s="15"/>
      <c r="F42" s="15"/>
      <c r="G42" s="15"/>
      <c r="H42" s="15"/>
      <c r="I42" s="15"/>
      <c r="J42" s="15"/>
      <c r="K42" s="15"/>
      <c r="L42" s="15"/>
      <c r="M42" s="15"/>
      <c r="N42" s="15"/>
      <c r="O42" s="15"/>
      <c r="P42"/>
    </row>
    <row r="43" spans="2:21" ht="15.75" thickBot="1" x14ac:dyDescent="0.3"/>
    <row r="44" spans="2:21" x14ac:dyDescent="0.25">
      <c r="B44" s="591" t="s">
        <v>9</v>
      </c>
      <c r="C44" s="615" t="s">
        <v>10</v>
      </c>
      <c r="D44" s="617" t="s">
        <v>11</v>
      </c>
      <c r="E44" s="588" t="s">
        <v>12</v>
      </c>
      <c r="F44" s="588" t="s">
        <v>13</v>
      </c>
      <c r="G44" s="588" t="s">
        <v>14</v>
      </c>
      <c r="H44" s="588" t="s">
        <v>15</v>
      </c>
      <c r="I44" s="588" t="s">
        <v>16</v>
      </c>
      <c r="J44" s="588" t="s">
        <v>17</v>
      </c>
      <c r="K44" s="588" t="s">
        <v>18</v>
      </c>
      <c r="L44" s="588" t="s">
        <v>19</v>
      </c>
      <c r="M44" s="588" t="s">
        <v>20</v>
      </c>
      <c r="N44" s="588" t="s">
        <v>21</v>
      </c>
      <c r="O44" s="618" t="s">
        <v>22</v>
      </c>
      <c r="P44" s="591" t="s">
        <v>23</v>
      </c>
    </row>
    <row r="45" spans="2:21" ht="15.75" thickBot="1" x14ac:dyDescent="0.3">
      <c r="B45" s="593"/>
      <c r="C45" s="616"/>
      <c r="D45" s="606"/>
      <c r="E45" s="590"/>
      <c r="F45" s="590"/>
      <c r="G45" s="590"/>
      <c r="H45" s="590"/>
      <c r="I45" s="590"/>
      <c r="J45" s="590"/>
      <c r="K45" s="590"/>
      <c r="L45" s="590"/>
      <c r="M45" s="590"/>
      <c r="N45" s="590"/>
      <c r="O45" s="619"/>
      <c r="P45" s="593"/>
    </row>
    <row r="46" spans="2:21" ht="14.65" customHeight="1" x14ac:dyDescent="0.25">
      <c r="B46" s="104">
        <f>ÜLDANDMED!D11</f>
        <v>2023</v>
      </c>
      <c r="C46" s="110" t="s">
        <v>58</v>
      </c>
      <c r="D46" s="333"/>
      <c r="E46" s="333"/>
      <c r="F46" s="333"/>
      <c r="G46" s="333"/>
      <c r="H46" s="333"/>
      <c r="I46" s="333"/>
      <c r="J46" s="333"/>
      <c r="K46" s="333"/>
      <c r="L46" s="333"/>
      <c r="M46" s="333"/>
      <c r="N46" s="333"/>
      <c r="O46" s="333"/>
      <c r="P46" s="367">
        <f>SUM(D46:O46)</f>
        <v>0</v>
      </c>
    </row>
    <row r="47" spans="2:21" s="2" customFormat="1" ht="14.65" customHeight="1" x14ac:dyDescent="0.2">
      <c r="B47" s="105"/>
      <c r="C47" s="46" t="s">
        <v>59</v>
      </c>
      <c r="D47" s="380">
        <f>D46*$G$5</f>
        <v>0</v>
      </c>
      <c r="E47" s="380">
        <f t="shared" ref="E47:O47" si="17">E46*$G$5</f>
        <v>0</v>
      </c>
      <c r="F47" s="380">
        <f t="shared" si="17"/>
        <v>0</v>
      </c>
      <c r="G47" s="380">
        <f t="shared" si="17"/>
        <v>0</v>
      </c>
      <c r="H47" s="380">
        <f t="shared" si="17"/>
        <v>0</v>
      </c>
      <c r="I47" s="380">
        <f t="shared" si="17"/>
        <v>0</v>
      </c>
      <c r="J47" s="380">
        <f t="shared" si="17"/>
        <v>0</v>
      </c>
      <c r="K47" s="380">
        <f t="shared" si="17"/>
        <v>0</v>
      </c>
      <c r="L47" s="380">
        <f t="shared" si="17"/>
        <v>0</v>
      </c>
      <c r="M47" s="380">
        <f t="shared" si="17"/>
        <v>0</v>
      </c>
      <c r="N47" s="380">
        <f t="shared" si="17"/>
        <v>0</v>
      </c>
      <c r="O47" s="380">
        <f t="shared" si="17"/>
        <v>0</v>
      </c>
      <c r="P47" s="367">
        <f>SUM(D47:O47)</f>
        <v>0</v>
      </c>
    </row>
    <row r="48" spans="2:21" s="2" customFormat="1" ht="14.65" customHeight="1" thickBot="1" x14ac:dyDescent="0.3">
      <c r="B48" s="105"/>
      <c r="C48" s="321" t="s">
        <v>60</v>
      </c>
      <c r="D48" s="379"/>
      <c r="E48" s="379"/>
      <c r="F48" s="379"/>
      <c r="G48" s="379"/>
      <c r="H48" s="379"/>
      <c r="I48" s="379"/>
      <c r="J48" s="379"/>
      <c r="K48" s="379"/>
      <c r="L48" s="379"/>
      <c r="M48" s="379"/>
      <c r="N48" s="379"/>
      <c r="O48" s="379"/>
      <c r="P48" s="366">
        <f>SUM(D48:O48)</f>
        <v>0</v>
      </c>
      <c r="R48"/>
      <c r="S48"/>
      <c r="T48"/>
      <c r="U48"/>
    </row>
    <row r="49" spans="2:21" s="2" customFormat="1" ht="14.65" customHeight="1" x14ac:dyDescent="0.25">
      <c r="B49" s="105"/>
      <c r="C49" s="110" t="s">
        <v>61</v>
      </c>
      <c r="D49" s="333"/>
      <c r="E49" s="333"/>
      <c r="F49" s="333"/>
      <c r="G49" s="333"/>
      <c r="H49" s="333"/>
      <c r="I49" s="333"/>
      <c r="J49" s="333"/>
      <c r="K49" s="333"/>
      <c r="L49" s="333"/>
      <c r="M49" s="333"/>
      <c r="N49" s="333"/>
      <c r="O49" s="333"/>
      <c r="P49" s="367">
        <f t="shared" ref="P49:P50" si="18">SUM(D49:O49)</f>
        <v>0</v>
      </c>
      <c r="R49"/>
      <c r="S49"/>
      <c r="T49"/>
      <c r="U49"/>
    </row>
    <row r="50" spans="2:21" s="2" customFormat="1" ht="14.65" customHeight="1" x14ac:dyDescent="0.25">
      <c r="B50" s="87"/>
      <c r="C50" s="46" t="s">
        <v>62</v>
      </c>
      <c r="D50" s="380">
        <f>D49*$G$6</f>
        <v>0</v>
      </c>
      <c r="E50" s="380">
        <f t="shared" ref="E50:O50" si="19">E49*$G$6</f>
        <v>0</v>
      </c>
      <c r="F50" s="380">
        <f t="shared" si="19"/>
        <v>0</v>
      </c>
      <c r="G50" s="380">
        <f t="shared" si="19"/>
        <v>0</v>
      </c>
      <c r="H50" s="380">
        <f t="shared" si="19"/>
        <v>0</v>
      </c>
      <c r="I50" s="380">
        <f t="shared" si="19"/>
        <v>0</v>
      </c>
      <c r="J50" s="380">
        <f t="shared" si="19"/>
        <v>0</v>
      </c>
      <c r="K50" s="380">
        <f t="shared" si="19"/>
        <v>0</v>
      </c>
      <c r="L50" s="380">
        <f t="shared" si="19"/>
        <v>0</v>
      </c>
      <c r="M50" s="380">
        <f t="shared" si="19"/>
        <v>0</v>
      </c>
      <c r="N50" s="380">
        <f t="shared" si="19"/>
        <v>0</v>
      </c>
      <c r="O50" s="380">
        <f t="shared" si="19"/>
        <v>0</v>
      </c>
      <c r="P50" s="367">
        <f t="shared" si="18"/>
        <v>0</v>
      </c>
      <c r="R50"/>
      <c r="S50"/>
      <c r="T50"/>
      <c r="U50"/>
    </row>
    <row r="51" spans="2:21" s="2" customFormat="1" ht="14.65" customHeight="1" thickBot="1" x14ac:dyDescent="0.3">
      <c r="B51" s="105"/>
      <c r="C51" s="321" t="s">
        <v>63</v>
      </c>
      <c r="D51" s="379"/>
      <c r="E51" s="379"/>
      <c r="F51" s="379"/>
      <c r="G51" s="379"/>
      <c r="H51" s="379"/>
      <c r="I51" s="379"/>
      <c r="J51" s="379"/>
      <c r="K51" s="379"/>
      <c r="L51" s="379"/>
      <c r="M51" s="379"/>
      <c r="N51" s="379"/>
      <c r="O51" s="379"/>
      <c r="P51" s="366">
        <f>SUM(D51:O51)</f>
        <v>0</v>
      </c>
      <c r="R51"/>
      <c r="S51"/>
      <c r="T51"/>
      <c r="U51"/>
    </row>
    <row r="52" spans="2:21" ht="14.65" customHeight="1" x14ac:dyDescent="0.25">
      <c r="B52" s="87"/>
      <c r="C52" s="110" t="s">
        <v>64</v>
      </c>
      <c r="D52" s="333"/>
      <c r="E52" s="333"/>
      <c r="F52" s="333"/>
      <c r="G52" s="333"/>
      <c r="H52" s="333"/>
      <c r="I52" s="333"/>
      <c r="J52" s="333"/>
      <c r="K52" s="333"/>
      <c r="L52" s="333"/>
      <c r="M52" s="333"/>
      <c r="N52" s="333"/>
      <c r="O52" s="333"/>
      <c r="P52" s="367">
        <f t="shared" ref="P52:P53" si="20">SUM(D52:O52)</f>
        <v>0</v>
      </c>
    </row>
    <row r="53" spans="2:21" ht="14.65" customHeight="1" x14ac:dyDescent="0.25">
      <c r="B53" s="105"/>
      <c r="C53" s="46" t="s">
        <v>65</v>
      </c>
      <c r="D53" s="380">
        <f>D52*$G$7</f>
        <v>0</v>
      </c>
      <c r="E53" s="380">
        <f t="shared" ref="E53:O53" si="21">E52*$G$7</f>
        <v>0</v>
      </c>
      <c r="F53" s="380">
        <f t="shared" si="21"/>
        <v>0</v>
      </c>
      <c r="G53" s="380">
        <f t="shared" si="21"/>
        <v>0</v>
      </c>
      <c r="H53" s="380">
        <f t="shared" si="21"/>
        <v>0</v>
      </c>
      <c r="I53" s="380">
        <f t="shared" si="21"/>
        <v>0</v>
      </c>
      <c r="J53" s="380">
        <f t="shared" si="21"/>
        <v>0</v>
      </c>
      <c r="K53" s="380">
        <f t="shared" si="21"/>
        <v>0</v>
      </c>
      <c r="L53" s="380">
        <f t="shared" si="21"/>
        <v>0</v>
      </c>
      <c r="M53" s="380">
        <f t="shared" si="21"/>
        <v>0</v>
      </c>
      <c r="N53" s="380">
        <f t="shared" si="21"/>
        <v>0</v>
      </c>
      <c r="O53" s="380">
        <f t="shared" si="21"/>
        <v>0</v>
      </c>
      <c r="P53" s="367">
        <f t="shared" si="20"/>
        <v>0</v>
      </c>
    </row>
    <row r="54" spans="2:21" ht="14.65" customHeight="1" thickBot="1" x14ac:dyDescent="0.3">
      <c r="B54" s="105"/>
      <c r="C54" s="321" t="s">
        <v>66</v>
      </c>
      <c r="D54" s="379"/>
      <c r="E54" s="379"/>
      <c r="F54" s="379"/>
      <c r="G54" s="379"/>
      <c r="H54" s="379"/>
      <c r="I54" s="379"/>
      <c r="J54" s="379"/>
      <c r="K54" s="379"/>
      <c r="L54" s="379"/>
      <c r="M54" s="379"/>
      <c r="N54" s="379"/>
      <c r="O54" s="379"/>
      <c r="P54" s="366">
        <f>SUM(D54:O54)</f>
        <v>0</v>
      </c>
    </row>
    <row r="55" spans="2:21" ht="14.65" customHeight="1" x14ac:dyDescent="0.25">
      <c r="B55" s="105"/>
      <c r="C55" s="110" t="s">
        <v>67</v>
      </c>
      <c r="D55" s="333"/>
      <c r="E55" s="333"/>
      <c r="F55" s="333"/>
      <c r="G55" s="333"/>
      <c r="H55" s="333"/>
      <c r="I55" s="333"/>
      <c r="J55" s="333"/>
      <c r="K55" s="333"/>
      <c r="L55" s="333"/>
      <c r="M55" s="333"/>
      <c r="N55" s="333"/>
      <c r="O55" s="333"/>
      <c r="P55" s="367">
        <f t="shared" ref="P55" si="22">SUM(D55:O55)</f>
        <v>0</v>
      </c>
    </row>
    <row r="56" spans="2:21" ht="14.65" customHeight="1" x14ac:dyDescent="0.25">
      <c r="B56" s="105"/>
      <c r="C56" s="46" t="s">
        <v>68</v>
      </c>
      <c r="D56" s="380">
        <f>D55*$G$8</f>
        <v>0</v>
      </c>
      <c r="E56" s="380">
        <f t="shared" ref="E56:O56" si="23">E55*$G$8</f>
        <v>0</v>
      </c>
      <c r="F56" s="380">
        <f t="shared" si="23"/>
        <v>0</v>
      </c>
      <c r="G56" s="380">
        <f t="shared" si="23"/>
        <v>0</v>
      </c>
      <c r="H56" s="380">
        <f t="shared" si="23"/>
        <v>0</v>
      </c>
      <c r="I56" s="380">
        <f t="shared" si="23"/>
        <v>0</v>
      </c>
      <c r="J56" s="380">
        <f t="shared" si="23"/>
        <v>0</v>
      </c>
      <c r="K56" s="380">
        <f t="shared" si="23"/>
        <v>0</v>
      </c>
      <c r="L56" s="380">
        <f t="shared" si="23"/>
        <v>0</v>
      </c>
      <c r="M56" s="380">
        <f t="shared" si="23"/>
        <v>0</v>
      </c>
      <c r="N56" s="380">
        <f t="shared" si="23"/>
        <v>0</v>
      </c>
      <c r="O56" s="380">
        <f t="shared" si="23"/>
        <v>0</v>
      </c>
      <c r="P56" s="367">
        <f t="shared" ref="P56" si="24">SUM(D56:O56)</f>
        <v>0</v>
      </c>
    </row>
    <row r="57" spans="2:21" ht="14.65" customHeight="1" thickBot="1" x14ac:dyDescent="0.3">
      <c r="B57" s="105"/>
      <c r="C57" s="321" t="s">
        <v>69</v>
      </c>
      <c r="D57" s="379"/>
      <c r="E57" s="379"/>
      <c r="F57" s="379"/>
      <c r="G57" s="379"/>
      <c r="H57" s="379"/>
      <c r="I57" s="379"/>
      <c r="J57" s="379"/>
      <c r="K57" s="379"/>
      <c r="L57" s="379"/>
      <c r="M57" s="379"/>
      <c r="N57" s="379"/>
      <c r="O57" s="379"/>
      <c r="P57" s="366">
        <f>SUM(D57:O57)</f>
        <v>0</v>
      </c>
    </row>
    <row r="58" spans="2:21" ht="15.75" thickBot="1" x14ac:dyDescent="0.3">
      <c r="B58" s="105"/>
      <c r="C58" s="324" t="s">
        <v>70</v>
      </c>
      <c r="D58" s="381">
        <f>D53+D54+D50+D51+D56+D57+D47+D48</f>
        <v>0</v>
      </c>
      <c r="E58" s="381">
        <f t="shared" ref="E58:O58" si="25">E53+E54+E50+E51+E56+E57+E47+E48</f>
        <v>0</v>
      </c>
      <c r="F58" s="381">
        <f t="shared" si="25"/>
        <v>0</v>
      </c>
      <c r="G58" s="381">
        <f t="shared" si="25"/>
        <v>0</v>
      </c>
      <c r="H58" s="381">
        <f t="shared" si="25"/>
        <v>0</v>
      </c>
      <c r="I58" s="381">
        <f t="shared" si="25"/>
        <v>0</v>
      </c>
      <c r="J58" s="381">
        <f t="shared" si="25"/>
        <v>0</v>
      </c>
      <c r="K58" s="381">
        <f t="shared" si="25"/>
        <v>0</v>
      </c>
      <c r="L58" s="381">
        <f t="shared" si="25"/>
        <v>0</v>
      </c>
      <c r="M58" s="381">
        <f t="shared" si="25"/>
        <v>0</v>
      </c>
      <c r="N58" s="381">
        <f t="shared" si="25"/>
        <v>0</v>
      </c>
      <c r="O58" s="381">
        <f t="shared" si="25"/>
        <v>0</v>
      </c>
      <c r="P58" s="384">
        <f>SUM(D58:O58)</f>
        <v>0</v>
      </c>
    </row>
    <row r="59" spans="2:21" ht="15.75" x14ac:dyDescent="0.25">
      <c r="B59" s="105"/>
      <c r="C59" s="322" t="s">
        <v>71</v>
      </c>
      <c r="D59" s="370"/>
      <c r="E59" s="370"/>
      <c r="F59" s="370"/>
      <c r="G59" s="370"/>
      <c r="H59" s="370"/>
      <c r="I59" s="370"/>
      <c r="J59" s="370"/>
      <c r="K59" s="370"/>
      <c r="L59" s="370"/>
      <c r="M59" s="370"/>
      <c r="N59" s="370"/>
      <c r="O59" s="370"/>
      <c r="P59" s="383">
        <f t="shared" ref="P59:P63" si="26">SUM(D59:O59)</f>
        <v>0</v>
      </c>
      <c r="Q59" s="73"/>
    </row>
    <row r="60" spans="2:21" x14ac:dyDescent="0.25">
      <c r="B60" s="105"/>
      <c r="C60" s="92" t="s">
        <v>72</v>
      </c>
      <c r="D60" s="380">
        <f>D59*$G$9</f>
        <v>0</v>
      </c>
      <c r="E60" s="380">
        <f t="shared" ref="E60" si="27">E59*$G$9</f>
        <v>0</v>
      </c>
      <c r="F60" s="380">
        <f t="shared" ref="F60" si="28">F59*$G$9</f>
        <v>0</v>
      </c>
      <c r="G60" s="380">
        <f t="shared" ref="G60" si="29">G59*$G$9</f>
        <v>0</v>
      </c>
      <c r="H60" s="380">
        <f t="shared" ref="H60" si="30">H59*$G$9</f>
        <v>0</v>
      </c>
      <c r="I60" s="380">
        <f t="shared" ref="I60" si="31">I59*$G$9</f>
        <v>0</v>
      </c>
      <c r="J60" s="380">
        <f t="shared" ref="J60" si="32">J59*$G$9</f>
        <v>0</v>
      </c>
      <c r="K60" s="380">
        <f t="shared" ref="K60" si="33">K59*$G$9</f>
        <v>0</v>
      </c>
      <c r="L60" s="380">
        <f t="shared" ref="L60" si="34">L59*$G$9</f>
        <v>0</v>
      </c>
      <c r="M60" s="380">
        <f t="shared" ref="M60" si="35">M59*$G$9</f>
        <v>0</v>
      </c>
      <c r="N60" s="380">
        <f t="shared" ref="N60" si="36">N59*$G$9</f>
        <v>0</v>
      </c>
      <c r="O60" s="380">
        <f t="shared" ref="O60" si="37">O59*$G$9</f>
        <v>0</v>
      </c>
      <c r="P60" s="367">
        <f t="shared" si="26"/>
        <v>0</v>
      </c>
      <c r="Q60" s="73"/>
    </row>
    <row r="61" spans="2:21" ht="15.75" thickBot="1" x14ac:dyDescent="0.3">
      <c r="B61" s="105"/>
      <c r="C61" s="266" t="s">
        <v>73</v>
      </c>
      <c r="D61" s="379"/>
      <c r="E61" s="379"/>
      <c r="F61" s="379"/>
      <c r="G61" s="379"/>
      <c r="H61" s="379"/>
      <c r="I61" s="379"/>
      <c r="J61" s="379"/>
      <c r="K61" s="379"/>
      <c r="L61" s="379"/>
      <c r="M61" s="379"/>
      <c r="N61" s="379"/>
      <c r="O61" s="379"/>
      <c r="P61" s="366">
        <f>SUM(D61:O61)</f>
        <v>0</v>
      </c>
      <c r="Q61" s="73"/>
    </row>
    <row r="62" spans="2:21" ht="15.75" x14ac:dyDescent="0.25">
      <c r="B62" s="105"/>
      <c r="C62" s="322" t="s">
        <v>74</v>
      </c>
      <c r="D62" s="333"/>
      <c r="E62" s="333"/>
      <c r="F62" s="333"/>
      <c r="G62" s="333"/>
      <c r="H62" s="333"/>
      <c r="I62" s="333"/>
      <c r="J62" s="333"/>
      <c r="K62" s="333"/>
      <c r="L62" s="333"/>
      <c r="M62" s="333"/>
      <c r="N62" s="333"/>
      <c r="O62" s="333"/>
      <c r="P62" s="367">
        <f t="shared" si="26"/>
        <v>0</v>
      </c>
      <c r="Q62" s="73"/>
    </row>
    <row r="63" spans="2:21" ht="14.65" customHeight="1" x14ac:dyDescent="0.25">
      <c r="B63" s="105"/>
      <c r="C63" s="92" t="s">
        <v>75</v>
      </c>
      <c r="D63" s="380">
        <f>D62*$G$9</f>
        <v>0</v>
      </c>
      <c r="E63" s="380">
        <f t="shared" ref="E63" si="38">E62*$G$9</f>
        <v>0</v>
      </c>
      <c r="F63" s="380">
        <f t="shared" ref="F63" si="39">F62*$G$9</f>
        <v>0</v>
      </c>
      <c r="G63" s="380">
        <f t="shared" ref="G63" si="40">G62*$G$9</f>
        <v>0</v>
      </c>
      <c r="H63" s="380">
        <f t="shared" ref="H63" si="41">H62*$G$9</f>
        <v>0</v>
      </c>
      <c r="I63" s="380">
        <f t="shared" ref="I63" si="42">I62*$G$9</f>
        <v>0</v>
      </c>
      <c r="J63" s="380">
        <f t="shared" ref="J63" si="43">J62*$G$9</f>
        <v>0</v>
      </c>
      <c r="K63" s="380">
        <f t="shared" ref="K63" si="44">K62*$G$9</f>
        <v>0</v>
      </c>
      <c r="L63" s="380">
        <f t="shared" ref="L63" si="45">L62*$G$9</f>
        <v>0</v>
      </c>
      <c r="M63" s="380">
        <f t="shared" ref="M63" si="46">M62*$G$9</f>
        <v>0</v>
      </c>
      <c r="N63" s="380">
        <f t="shared" ref="N63" si="47">N62*$G$9</f>
        <v>0</v>
      </c>
      <c r="O63" s="380">
        <f t="shared" ref="O63" si="48">O62*$G$9</f>
        <v>0</v>
      </c>
      <c r="P63" s="383">
        <f t="shared" si="26"/>
        <v>0</v>
      </c>
    </row>
    <row r="64" spans="2:21" ht="14.65" customHeight="1" thickBot="1" x14ac:dyDescent="0.3">
      <c r="B64" s="105"/>
      <c r="C64" s="266" t="s">
        <v>76</v>
      </c>
      <c r="D64" s="379"/>
      <c r="E64" s="379"/>
      <c r="F64" s="379"/>
      <c r="G64" s="379"/>
      <c r="H64" s="379"/>
      <c r="I64" s="379"/>
      <c r="J64" s="379"/>
      <c r="K64" s="379"/>
      <c r="L64" s="379"/>
      <c r="M64" s="379"/>
      <c r="N64" s="379"/>
      <c r="O64" s="379"/>
      <c r="P64" s="366">
        <f>SUM(D64:O64)</f>
        <v>0</v>
      </c>
    </row>
    <row r="65" spans="2:21" ht="14.65" customHeight="1" thickBot="1" x14ac:dyDescent="0.3">
      <c r="B65" s="105"/>
      <c r="C65" s="325" t="s">
        <v>77</v>
      </c>
      <c r="D65" s="381">
        <f>D60+D61+D63+D64</f>
        <v>0</v>
      </c>
      <c r="E65" s="381">
        <f t="shared" ref="E65:O65" si="49">E60+E61+E63+E64</f>
        <v>0</v>
      </c>
      <c r="F65" s="381">
        <f t="shared" si="49"/>
        <v>0</v>
      </c>
      <c r="G65" s="381">
        <f t="shared" si="49"/>
        <v>0</v>
      </c>
      <c r="H65" s="381">
        <f t="shared" si="49"/>
        <v>0</v>
      </c>
      <c r="I65" s="381">
        <f t="shared" si="49"/>
        <v>0</v>
      </c>
      <c r="J65" s="381">
        <f t="shared" si="49"/>
        <v>0</v>
      </c>
      <c r="K65" s="381">
        <f t="shared" si="49"/>
        <v>0</v>
      </c>
      <c r="L65" s="381">
        <f t="shared" si="49"/>
        <v>0</v>
      </c>
      <c r="M65" s="381">
        <f t="shared" si="49"/>
        <v>0</v>
      </c>
      <c r="N65" s="381">
        <f t="shared" si="49"/>
        <v>0</v>
      </c>
      <c r="O65" s="381">
        <f t="shared" si="49"/>
        <v>0</v>
      </c>
      <c r="P65" s="384">
        <f t="shared" ref="P65:P66" si="50">SUM(D65:O65)</f>
        <v>0</v>
      </c>
    </row>
    <row r="66" spans="2:21" ht="15.75" thickBot="1" x14ac:dyDescent="0.3">
      <c r="B66" s="105"/>
      <c r="C66" s="324" t="s">
        <v>78</v>
      </c>
      <c r="D66" s="381">
        <f t="shared" ref="D66:O66" si="51">D58+D65</f>
        <v>0</v>
      </c>
      <c r="E66" s="381">
        <f t="shared" si="51"/>
        <v>0</v>
      </c>
      <c r="F66" s="381">
        <f t="shared" si="51"/>
        <v>0</v>
      </c>
      <c r="G66" s="381">
        <f t="shared" si="51"/>
        <v>0</v>
      </c>
      <c r="H66" s="381">
        <f t="shared" si="51"/>
        <v>0</v>
      </c>
      <c r="I66" s="381">
        <f t="shared" si="51"/>
        <v>0</v>
      </c>
      <c r="J66" s="381">
        <f t="shared" si="51"/>
        <v>0</v>
      </c>
      <c r="K66" s="381">
        <f t="shared" si="51"/>
        <v>0</v>
      </c>
      <c r="L66" s="381">
        <f t="shared" si="51"/>
        <v>0</v>
      </c>
      <c r="M66" s="381">
        <f t="shared" si="51"/>
        <v>0</v>
      </c>
      <c r="N66" s="381">
        <f t="shared" si="51"/>
        <v>0</v>
      </c>
      <c r="O66" s="381">
        <f t="shared" si="51"/>
        <v>0</v>
      </c>
      <c r="P66" s="384">
        <f t="shared" si="50"/>
        <v>0</v>
      </c>
    </row>
    <row r="67" spans="2:21" x14ac:dyDescent="0.25">
      <c r="B67" s="105"/>
      <c r="C67" s="326" t="s">
        <v>370</v>
      </c>
      <c r="D67" s="514"/>
      <c r="E67" s="514"/>
      <c r="F67" s="514"/>
      <c r="G67" s="514"/>
      <c r="H67" s="514"/>
      <c r="I67" s="514"/>
      <c r="J67" s="514"/>
      <c r="K67" s="514"/>
      <c r="L67" s="514"/>
      <c r="M67" s="514"/>
      <c r="N67" s="514"/>
      <c r="O67" s="514"/>
      <c r="P67" s="351" t="e">
        <f>P66/b_2023</f>
        <v>#DIV/0!</v>
      </c>
    </row>
    <row r="68" spans="2:21" ht="15.75" thickBot="1" x14ac:dyDescent="0.3">
      <c r="B68" s="106"/>
      <c r="C68" s="163" t="s">
        <v>79</v>
      </c>
      <c r="D68" s="382" t="e">
        <f t="shared" ref="D68:P68" si="52">D58/D66</f>
        <v>#DIV/0!</v>
      </c>
      <c r="E68" s="382" t="e">
        <f t="shared" si="52"/>
        <v>#DIV/0!</v>
      </c>
      <c r="F68" s="382" t="e">
        <f t="shared" si="52"/>
        <v>#DIV/0!</v>
      </c>
      <c r="G68" s="382" t="e">
        <f t="shared" si="52"/>
        <v>#DIV/0!</v>
      </c>
      <c r="H68" s="382" t="e">
        <f t="shared" si="52"/>
        <v>#DIV/0!</v>
      </c>
      <c r="I68" s="382" t="e">
        <f t="shared" si="52"/>
        <v>#DIV/0!</v>
      </c>
      <c r="J68" s="382" t="e">
        <f t="shared" si="52"/>
        <v>#DIV/0!</v>
      </c>
      <c r="K68" s="382" t="e">
        <f t="shared" si="52"/>
        <v>#DIV/0!</v>
      </c>
      <c r="L68" s="382" t="e">
        <f t="shared" si="52"/>
        <v>#DIV/0!</v>
      </c>
      <c r="M68" s="382" t="e">
        <f t="shared" si="52"/>
        <v>#DIV/0!</v>
      </c>
      <c r="N68" s="382" t="e">
        <f t="shared" si="52"/>
        <v>#DIV/0!</v>
      </c>
      <c r="O68" s="382" t="e">
        <f t="shared" si="52"/>
        <v>#DIV/0!</v>
      </c>
      <c r="P68" s="385" t="e">
        <f t="shared" si="52"/>
        <v>#DIV/0!</v>
      </c>
      <c r="Q68" s="97"/>
    </row>
    <row r="69" spans="2:21" ht="14.65" customHeight="1" x14ac:dyDescent="0.25">
      <c r="B69" s="58"/>
      <c r="C69" s="59"/>
      <c r="D69" s="15"/>
      <c r="E69" s="15"/>
      <c r="F69" s="15"/>
      <c r="G69" s="15"/>
      <c r="H69" s="15"/>
      <c r="I69" s="15"/>
      <c r="J69" s="15"/>
      <c r="K69" s="15"/>
      <c r="L69" s="15"/>
      <c r="M69" s="15"/>
      <c r="N69" s="15"/>
      <c r="O69" s="15"/>
      <c r="P69"/>
    </row>
    <row r="70" spans="2:21" ht="15.75" thickBot="1" x14ac:dyDescent="0.3"/>
    <row r="71" spans="2:21" x14ac:dyDescent="0.25">
      <c r="B71" s="591" t="s">
        <v>9</v>
      </c>
      <c r="C71" s="615" t="s">
        <v>10</v>
      </c>
      <c r="D71" s="617" t="s">
        <v>11</v>
      </c>
      <c r="E71" s="588" t="s">
        <v>12</v>
      </c>
      <c r="F71" s="588" t="s">
        <v>13</v>
      </c>
      <c r="G71" s="588" t="s">
        <v>14</v>
      </c>
      <c r="H71" s="588" t="s">
        <v>15</v>
      </c>
      <c r="I71" s="588" t="s">
        <v>16</v>
      </c>
      <c r="J71" s="588" t="s">
        <v>17</v>
      </c>
      <c r="K71" s="588" t="s">
        <v>18</v>
      </c>
      <c r="L71" s="588" t="s">
        <v>19</v>
      </c>
      <c r="M71" s="588" t="s">
        <v>20</v>
      </c>
      <c r="N71" s="588" t="s">
        <v>21</v>
      </c>
      <c r="O71" s="618" t="s">
        <v>22</v>
      </c>
      <c r="P71" s="591" t="s">
        <v>23</v>
      </c>
    </row>
    <row r="72" spans="2:21" ht="15.75" thickBot="1" x14ac:dyDescent="0.3">
      <c r="B72" s="593"/>
      <c r="C72" s="616"/>
      <c r="D72" s="606"/>
      <c r="E72" s="590"/>
      <c r="F72" s="590"/>
      <c r="G72" s="590"/>
      <c r="H72" s="590"/>
      <c r="I72" s="590"/>
      <c r="J72" s="590"/>
      <c r="K72" s="590"/>
      <c r="L72" s="590"/>
      <c r="M72" s="590"/>
      <c r="N72" s="590"/>
      <c r="O72" s="619"/>
      <c r="P72" s="593"/>
    </row>
    <row r="73" spans="2:21" ht="14.65" customHeight="1" x14ac:dyDescent="0.25">
      <c r="B73" s="105">
        <f>ÜLDANDMED!E11</f>
        <v>2024</v>
      </c>
      <c r="C73" s="110" t="s">
        <v>58</v>
      </c>
      <c r="D73" s="333"/>
      <c r="E73" s="333"/>
      <c r="F73" s="333"/>
      <c r="G73" s="333"/>
      <c r="H73" s="333"/>
      <c r="I73" s="333"/>
      <c r="J73" s="333"/>
      <c r="K73" s="333"/>
      <c r="L73" s="333"/>
      <c r="M73" s="333"/>
      <c r="N73" s="333"/>
      <c r="O73" s="333"/>
      <c r="P73" s="367">
        <f>SUM(D73:O73)</f>
        <v>0</v>
      </c>
    </row>
    <row r="74" spans="2:21" s="2" customFormat="1" ht="14.65" customHeight="1" x14ac:dyDescent="0.2">
      <c r="B74" s="114"/>
      <c r="C74" s="46" t="s">
        <v>59</v>
      </c>
      <c r="D74" s="380">
        <f>D73*$G$5</f>
        <v>0</v>
      </c>
      <c r="E74" s="380">
        <f t="shared" ref="E74" si="53">E73*$G$5</f>
        <v>0</v>
      </c>
      <c r="F74" s="380">
        <f t="shared" ref="F74" si="54">F73*$G$5</f>
        <v>0</v>
      </c>
      <c r="G74" s="380">
        <f t="shared" ref="G74" si="55">G73*$G$5</f>
        <v>0</v>
      </c>
      <c r="H74" s="380">
        <f t="shared" ref="H74" si="56">H73*$G$5</f>
        <v>0</v>
      </c>
      <c r="I74" s="380">
        <f t="shared" ref="I74" si="57">I73*$G$5</f>
        <v>0</v>
      </c>
      <c r="J74" s="380">
        <f t="shared" ref="J74" si="58">J73*$G$5</f>
        <v>0</v>
      </c>
      <c r="K74" s="380">
        <f t="shared" ref="K74" si="59">K73*$G$5</f>
        <v>0</v>
      </c>
      <c r="L74" s="380">
        <f t="shared" ref="L74" si="60">L73*$G$5</f>
        <v>0</v>
      </c>
      <c r="M74" s="380">
        <f t="shared" ref="M74" si="61">M73*$G$5</f>
        <v>0</v>
      </c>
      <c r="N74" s="380">
        <f t="shared" ref="N74" si="62">N73*$G$5</f>
        <v>0</v>
      </c>
      <c r="O74" s="380">
        <f t="shared" ref="O74" si="63">O73*$G$5</f>
        <v>0</v>
      </c>
      <c r="P74" s="367">
        <f>SUM(D74:O74)</f>
        <v>0</v>
      </c>
    </row>
    <row r="75" spans="2:21" s="2" customFormat="1" ht="14.65" customHeight="1" thickBot="1" x14ac:dyDescent="0.3">
      <c r="B75" s="105"/>
      <c r="C75" s="321" t="s">
        <v>60</v>
      </c>
      <c r="D75" s="379"/>
      <c r="E75" s="379"/>
      <c r="F75" s="379"/>
      <c r="G75" s="379"/>
      <c r="H75" s="379"/>
      <c r="I75" s="379"/>
      <c r="J75" s="379"/>
      <c r="K75" s="379"/>
      <c r="L75" s="379"/>
      <c r="M75" s="379"/>
      <c r="N75" s="379"/>
      <c r="O75" s="379"/>
      <c r="P75" s="366">
        <f>SUM(D75:O75)</f>
        <v>0</v>
      </c>
      <c r="R75"/>
      <c r="S75"/>
      <c r="T75"/>
      <c r="U75"/>
    </row>
    <row r="76" spans="2:21" s="2" customFormat="1" ht="14.65" customHeight="1" x14ac:dyDescent="0.25">
      <c r="B76" s="105"/>
      <c r="C76" s="110" t="s">
        <v>61</v>
      </c>
      <c r="D76" s="333"/>
      <c r="E76" s="333"/>
      <c r="F76" s="333"/>
      <c r="G76" s="333"/>
      <c r="H76" s="333"/>
      <c r="I76" s="333"/>
      <c r="J76" s="333"/>
      <c r="K76" s="333"/>
      <c r="L76" s="333"/>
      <c r="M76" s="333"/>
      <c r="N76" s="333"/>
      <c r="O76" s="333"/>
      <c r="P76" s="367">
        <f t="shared" ref="P76:P83" si="64">SUM(D76:O76)</f>
        <v>0</v>
      </c>
      <c r="R76"/>
      <c r="S76"/>
      <c r="T76"/>
      <c r="U76"/>
    </row>
    <row r="77" spans="2:21" s="2" customFormat="1" ht="14.65" customHeight="1" x14ac:dyDescent="0.25">
      <c r="B77" s="87"/>
      <c r="C77" s="46" t="s">
        <v>62</v>
      </c>
      <c r="D77" s="380">
        <f>D76*$G$6</f>
        <v>0</v>
      </c>
      <c r="E77" s="380">
        <f t="shared" ref="E77" si="65">E76*$G$6</f>
        <v>0</v>
      </c>
      <c r="F77" s="380">
        <f t="shared" ref="F77" si="66">F76*$G$6</f>
        <v>0</v>
      </c>
      <c r="G77" s="380">
        <f t="shared" ref="G77" si="67">G76*$G$6</f>
        <v>0</v>
      </c>
      <c r="H77" s="380">
        <f t="shared" ref="H77" si="68">H76*$G$6</f>
        <v>0</v>
      </c>
      <c r="I77" s="380">
        <f t="shared" ref="I77" si="69">I76*$G$6</f>
        <v>0</v>
      </c>
      <c r="J77" s="380">
        <f t="shared" ref="J77" si="70">J76*$G$6</f>
        <v>0</v>
      </c>
      <c r="K77" s="380">
        <f t="shared" ref="K77" si="71">K76*$G$6</f>
        <v>0</v>
      </c>
      <c r="L77" s="380">
        <f t="shared" ref="L77" si="72">L76*$G$6</f>
        <v>0</v>
      </c>
      <c r="M77" s="380">
        <f t="shared" ref="M77" si="73">M76*$G$6</f>
        <v>0</v>
      </c>
      <c r="N77" s="380">
        <f t="shared" ref="N77" si="74">N76*$G$6</f>
        <v>0</v>
      </c>
      <c r="O77" s="380">
        <f t="shared" ref="O77" si="75">O76*$G$6</f>
        <v>0</v>
      </c>
      <c r="P77" s="367">
        <f t="shared" si="64"/>
        <v>0</v>
      </c>
      <c r="R77"/>
      <c r="S77"/>
      <c r="T77"/>
      <c r="U77"/>
    </row>
    <row r="78" spans="2:21" s="2" customFormat="1" ht="14.65" customHeight="1" thickBot="1" x14ac:dyDescent="0.3">
      <c r="B78" s="105"/>
      <c r="C78" s="321" t="s">
        <v>63</v>
      </c>
      <c r="D78" s="379"/>
      <c r="E78" s="379"/>
      <c r="F78" s="379"/>
      <c r="G78" s="379"/>
      <c r="H78" s="379"/>
      <c r="I78" s="379"/>
      <c r="J78" s="379"/>
      <c r="K78" s="379"/>
      <c r="L78" s="379"/>
      <c r="M78" s="379"/>
      <c r="N78" s="379"/>
      <c r="O78" s="379"/>
      <c r="P78" s="366">
        <f>SUM(D78:O78)</f>
        <v>0</v>
      </c>
      <c r="R78"/>
      <c r="S78"/>
      <c r="T78"/>
      <c r="U78"/>
    </row>
    <row r="79" spans="2:21" ht="14.65" customHeight="1" x14ac:dyDescent="0.25">
      <c r="B79" s="86"/>
      <c r="C79" s="110" t="s">
        <v>64</v>
      </c>
      <c r="D79" s="333"/>
      <c r="E79" s="333"/>
      <c r="F79" s="333"/>
      <c r="G79" s="333"/>
      <c r="H79" s="333"/>
      <c r="I79" s="333"/>
      <c r="J79" s="333"/>
      <c r="K79" s="333"/>
      <c r="L79" s="333"/>
      <c r="M79" s="333"/>
      <c r="N79" s="333"/>
      <c r="O79" s="333"/>
      <c r="P79" s="367">
        <f t="shared" si="64"/>
        <v>0</v>
      </c>
    </row>
    <row r="80" spans="2:21" ht="14.65" customHeight="1" x14ac:dyDescent="0.25">
      <c r="B80" s="77"/>
      <c r="C80" s="46" t="s">
        <v>65</v>
      </c>
      <c r="D80" s="380">
        <f>D79*$G$7</f>
        <v>0</v>
      </c>
      <c r="E80" s="380">
        <f t="shared" ref="E80" si="76">E79*$G$7</f>
        <v>0</v>
      </c>
      <c r="F80" s="380">
        <f t="shared" ref="F80" si="77">F79*$G$7</f>
        <v>0</v>
      </c>
      <c r="G80" s="380">
        <f t="shared" ref="G80" si="78">G79*$G$7</f>
        <v>0</v>
      </c>
      <c r="H80" s="380">
        <f t="shared" ref="H80" si="79">H79*$G$7</f>
        <v>0</v>
      </c>
      <c r="I80" s="380">
        <f t="shared" ref="I80" si="80">I79*$G$7</f>
        <v>0</v>
      </c>
      <c r="J80" s="380">
        <f t="shared" ref="J80" si="81">J79*$G$7</f>
        <v>0</v>
      </c>
      <c r="K80" s="380">
        <f t="shared" ref="K80" si="82">K79*$G$7</f>
        <v>0</v>
      </c>
      <c r="L80" s="380">
        <f t="shared" ref="L80" si="83">L79*$G$7</f>
        <v>0</v>
      </c>
      <c r="M80" s="380">
        <f t="shared" ref="M80" si="84">M79*$G$7</f>
        <v>0</v>
      </c>
      <c r="N80" s="380">
        <f t="shared" ref="N80" si="85">N79*$G$7</f>
        <v>0</v>
      </c>
      <c r="O80" s="380">
        <f t="shared" ref="O80" si="86">O79*$G$7</f>
        <v>0</v>
      </c>
      <c r="P80" s="367">
        <f t="shared" si="64"/>
        <v>0</v>
      </c>
    </row>
    <row r="81" spans="2:17" ht="14.65" customHeight="1" thickBot="1" x14ac:dyDescent="0.3">
      <c r="B81" s="105"/>
      <c r="C81" s="321" t="s">
        <v>66</v>
      </c>
      <c r="D81" s="379"/>
      <c r="E81" s="379"/>
      <c r="F81" s="379"/>
      <c r="G81" s="379"/>
      <c r="H81" s="379"/>
      <c r="I81" s="379"/>
      <c r="J81" s="379"/>
      <c r="K81" s="379"/>
      <c r="L81" s="379"/>
      <c r="M81" s="379"/>
      <c r="N81" s="379"/>
      <c r="O81" s="379"/>
      <c r="P81" s="366">
        <f>SUM(D81:O81)</f>
        <v>0</v>
      </c>
    </row>
    <row r="82" spans="2:17" ht="14.65" customHeight="1" x14ac:dyDescent="0.25">
      <c r="B82" s="77"/>
      <c r="C82" s="110" t="s">
        <v>67</v>
      </c>
      <c r="D82" s="333"/>
      <c r="E82" s="333"/>
      <c r="F82" s="333"/>
      <c r="G82" s="333"/>
      <c r="H82" s="333"/>
      <c r="I82" s="333"/>
      <c r="J82" s="333"/>
      <c r="K82" s="333"/>
      <c r="L82" s="333"/>
      <c r="M82" s="333"/>
      <c r="N82" s="333"/>
      <c r="O82" s="333"/>
      <c r="P82" s="367">
        <f t="shared" si="64"/>
        <v>0</v>
      </c>
    </row>
    <row r="83" spans="2:17" ht="14.65" customHeight="1" x14ac:dyDescent="0.25">
      <c r="B83" s="77"/>
      <c r="C83" s="46" t="s">
        <v>68</v>
      </c>
      <c r="D83" s="380">
        <f>D82*$G$8</f>
        <v>0</v>
      </c>
      <c r="E83" s="380">
        <f t="shared" ref="E83" si="87">E82*$G$8</f>
        <v>0</v>
      </c>
      <c r="F83" s="380">
        <f t="shared" ref="F83" si="88">F82*$G$8</f>
        <v>0</v>
      </c>
      <c r="G83" s="380">
        <f t="shared" ref="G83" si="89">G82*$G$8</f>
        <v>0</v>
      </c>
      <c r="H83" s="380">
        <f t="shared" ref="H83" si="90">H82*$G$8</f>
        <v>0</v>
      </c>
      <c r="I83" s="380">
        <f t="shared" ref="I83" si="91">I82*$G$8</f>
        <v>0</v>
      </c>
      <c r="J83" s="380">
        <f t="shared" ref="J83" si="92">J82*$G$8</f>
        <v>0</v>
      </c>
      <c r="K83" s="380">
        <f t="shared" ref="K83" si="93">K82*$G$8</f>
        <v>0</v>
      </c>
      <c r="L83" s="380">
        <f t="shared" ref="L83" si="94">L82*$G$8</f>
        <v>0</v>
      </c>
      <c r="M83" s="380">
        <f t="shared" ref="M83" si="95">M82*$G$8</f>
        <v>0</v>
      </c>
      <c r="N83" s="380">
        <f t="shared" ref="N83" si="96">N82*$G$8</f>
        <v>0</v>
      </c>
      <c r="O83" s="380">
        <f t="shared" ref="O83" si="97">O82*$G$8</f>
        <v>0</v>
      </c>
      <c r="P83" s="367">
        <f t="shared" si="64"/>
        <v>0</v>
      </c>
    </row>
    <row r="84" spans="2:17" ht="14.65" customHeight="1" thickBot="1" x14ac:dyDescent="0.3">
      <c r="B84" s="105"/>
      <c r="C84" s="321" t="s">
        <v>69</v>
      </c>
      <c r="D84" s="379"/>
      <c r="E84" s="379"/>
      <c r="F84" s="379"/>
      <c r="G84" s="379"/>
      <c r="H84" s="379"/>
      <c r="I84" s="379"/>
      <c r="J84" s="379"/>
      <c r="K84" s="379"/>
      <c r="L84" s="379"/>
      <c r="M84" s="379"/>
      <c r="N84" s="379"/>
      <c r="O84" s="379"/>
      <c r="P84" s="366">
        <f>SUM(D84:O84)</f>
        <v>0</v>
      </c>
    </row>
    <row r="85" spans="2:17" ht="15.75" thickBot="1" x14ac:dyDescent="0.3">
      <c r="B85" s="77"/>
      <c r="C85" s="324" t="s">
        <v>70</v>
      </c>
      <c r="D85" s="381">
        <f>D80+D81+D77+D78+D83+D84+D74+D75</f>
        <v>0</v>
      </c>
      <c r="E85" s="381">
        <f t="shared" ref="E85:O85" si="98">E80+E81+E77+E78+E83+E84+E74+E75</f>
        <v>0</v>
      </c>
      <c r="F85" s="381">
        <f t="shared" si="98"/>
        <v>0</v>
      </c>
      <c r="G85" s="381">
        <f t="shared" si="98"/>
        <v>0</v>
      </c>
      <c r="H85" s="381">
        <f t="shared" si="98"/>
        <v>0</v>
      </c>
      <c r="I85" s="381">
        <f t="shared" si="98"/>
        <v>0</v>
      </c>
      <c r="J85" s="381">
        <f t="shared" si="98"/>
        <v>0</v>
      </c>
      <c r="K85" s="381">
        <f t="shared" si="98"/>
        <v>0</v>
      </c>
      <c r="L85" s="381">
        <f t="shared" si="98"/>
        <v>0</v>
      </c>
      <c r="M85" s="381">
        <f t="shared" si="98"/>
        <v>0</v>
      </c>
      <c r="N85" s="381">
        <f t="shared" si="98"/>
        <v>0</v>
      </c>
      <c r="O85" s="381">
        <f t="shared" si="98"/>
        <v>0</v>
      </c>
      <c r="P85" s="384">
        <f>SUM(D85:O85)</f>
        <v>0</v>
      </c>
    </row>
    <row r="86" spans="2:17" ht="15.75" x14ac:dyDescent="0.25">
      <c r="B86" s="105"/>
      <c r="C86" s="322" t="s">
        <v>71</v>
      </c>
      <c r="D86" s="370"/>
      <c r="E86" s="370"/>
      <c r="F86" s="370"/>
      <c r="G86" s="370"/>
      <c r="H86" s="370"/>
      <c r="I86" s="370"/>
      <c r="J86" s="370"/>
      <c r="K86" s="370"/>
      <c r="L86" s="370"/>
      <c r="M86" s="370"/>
      <c r="N86" s="370"/>
      <c r="O86" s="370"/>
      <c r="P86" s="383">
        <f t="shared" ref="P86:P92" si="99">SUM(D86:O86)</f>
        <v>0</v>
      </c>
      <c r="Q86" s="73"/>
    </row>
    <row r="87" spans="2:17" x14ac:dyDescent="0.25">
      <c r="B87" s="105"/>
      <c r="C87" s="92" t="s">
        <v>72</v>
      </c>
      <c r="D87" s="380">
        <f>D86*$G$9</f>
        <v>0</v>
      </c>
      <c r="E87" s="380">
        <f t="shared" ref="E87" si="100">E86*$G$9</f>
        <v>0</v>
      </c>
      <c r="F87" s="380">
        <f t="shared" ref="F87" si="101">F86*$G$9</f>
        <v>0</v>
      </c>
      <c r="G87" s="380">
        <f t="shared" ref="G87" si="102">G86*$G$9</f>
        <v>0</v>
      </c>
      <c r="H87" s="380">
        <f t="shared" ref="H87" si="103">H86*$G$9</f>
        <v>0</v>
      </c>
      <c r="I87" s="380">
        <f t="shared" ref="I87" si="104">I86*$G$9</f>
        <v>0</v>
      </c>
      <c r="J87" s="380">
        <f t="shared" ref="J87" si="105">J86*$G$9</f>
        <v>0</v>
      </c>
      <c r="K87" s="380">
        <f t="shared" ref="K87" si="106">K86*$G$9</f>
        <v>0</v>
      </c>
      <c r="L87" s="380">
        <f t="shared" ref="L87" si="107">L86*$G$9</f>
        <v>0</v>
      </c>
      <c r="M87" s="380">
        <f t="shared" ref="M87" si="108">M86*$G$9</f>
        <v>0</v>
      </c>
      <c r="N87" s="380">
        <f t="shared" ref="N87" si="109">N86*$G$9</f>
        <v>0</v>
      </c>
      <c r="O87" s="380">
        <f t="shared" ref="O87" si="110">O86*$G$9</f>
        <v>0</v>
      </c>
      <c r="P87" s="367">
        <f t="shared" si="99"/>
        <v>0</v>
      </c>
      <c r="Q87" s="73"/>
    </row>
    <row r="88" spans="2:17" ht="15.75" thickBot="1" x14ac:dyDescent="0.3">
      <c r="B88" s="105"/>
      <c r="C88" s="266" t="s">
        <v>73</v>
      </c>
      <c r="D88" s="379"/>
      <c r="E88" s="379"/>
      <c r="F88" s="379"/>
      <c r="G88" s="379"/>
      <c r="H88" s="379"/>
      <c r="I88" s="379"/>
      <c r="J88" s="379"/>
      <c r="K88" s="379"/>
      <c r="L88" s="379"/>
      <c r="M88" s="379"/>
      <c r="N88" s="379"/>
      <c r="O88" s="379"/>
      <c r="P88" s="366">
        <f>SUM(D88:O88)</f>
        <v>0</v>
      </c>
      <c r="Q88" s="73"/>
    </row>
    <row r="89" spans="2:17" ht="15.75" x14ac:dyDescent="0.25">
      <c r="B89" s="105"/>
      <c r="C89" s="322" t="s">
        <v>74</v>
      </c>
      <c r="D89" s="333"/>
      <c r="E89" s="333"/>
      <c r="F89" s="333"/>
      <c r="G89" s="333"/>
      <c r="H89" s="333"/>
      <c r="I89" s="333"/>
      <c r="J89" s="333"/>
      <c r="K89" s="333"/>
      <c r="L89" s="333"/>
      <c r="M89" s="333"/>
      <c r="N89" s="333"/>
      <c r="O89" s="333"/>
      <c r="P89" s="367">
        <f t="shared" si="99"/>
        <v>0</v>
      </c>
      <c r="Q89" s="73"/>
    </row>
    <row r="90" spans="2:17" ht="14.65" customHeight="1" x14ac:dyDescent="0.25">
      <c r="B90" s="77"/>
      <c r="C90" s="92" t="s">
        <v>75</v>
      </c>
      <c r="D90" s="386">
        <f t="shared" ref="D90:O90" si="111">D89*$G$9</f>
        <v>0</v>
      </c>
      <c r="E90" s="386">
        <f t="shared" si="111"/>
        <v>0</v>
      </c>
      <c r="F90" s="386">
        <f t="shared" si="111"/>
        <v>0</v>
      </c>
      <c r="G90" s="386">
        <f t="shared" si="111"/>
        <v>0</v>
      </c>
      <c r="H90" s="386">
        <f t="shared" si="111"/>
        <v>0</v>
      </c>
      <c r="I90" s="386">
        <f t="shared" si="111"/>
        <v>0</v>
      </c>
      <c r="J90" s="386">
        <f t="shared" si="111"/>
        <v>0</v>
      </c>
      <c r="K90" s="386">
        <f t="shared" si="111"/>
        <v>0</v>
      </c>
      <c r="L90" s="386">
        <f t="shared" si="111"/>
        <v>0</v>
      </c>
      <c r="M90" s="386">
        <f t="shared" si="111"/>
        <v>0</v>
      </c>
      <c r="N90" s="386">
        <f t="shared" si="111"/>
        <v>0</v>
      </c>
      <c r="O90" s="386">
        <f t="shared" si="111"/>
        <v>0</v>
      </c>
      <c r="P90" s="383">
        <f t="shared" si="99"/>
        <v>0</v>
      </c>
    </row>
    <row r="91" spans="2:17" ht="14.65" customHeight="1" thickBot="1" x14ac:dyDescent="0.3">
      <c r="B91" s="105"/>
      <c r="C91" s="266" t="s">
        <v>76</v>
      </c>
      <c r="D91" s="379"/>
      <c r="E91" s="379"/>
      <c r="F91" s="379"/>
      <c r="G91" s="379"/>
      <c r="H91" s="379"/>
      <c r="I91" s="379"/>
      <c r="J91" s="379"/>
      <c r="K91" s="379"/>
      <c r="L91" s="379"/>
      <c r="M91" s="379"/>
      <c r="N91" s="379"/>
      <c r="O91" s="379"/>
      <c r="P91" s="366">
        <f>SUM(D91:O91)</f>
        <v>0</v>
      </c>
    </row>
    <row r="92" spans="2:17" ht="14.65" customHeight="1" thickBot="1" x14ac:dyDescent="0.3">
      <c r="B92" s="77"/>
      <c r="C92" s="325" t="s">
        <v>77</v>
      </c>
      <c r="D92" s="381">
        <f>D87+D88+D90+D91</f>
        <v>0</v>
      </c>
      <c r="E92" s="381">
        <f t="shared" ref="E92:O92" si="112">E87+E88+E90+E91</f>
        <v>0</v>
      </c>
      <c r="F92" s="381">
        <f t="shared" si="112"/>
        <v>0</v>
      </c>
      <c r="G92" s="381">
        <f t="shared" si="112"/>
        <v>0</v>
      </c>
      <c r="H92" s="381">
        <f t="shared" si="112"/>
        <v>0</v>
      </c>
      <c r="I92" s="381">
        <f t="shared" si="112"/>
        <v>0</v>
      </c>
      <c r="J92" s="381">
        <f t="shared" si="112"/>
        <v>0</v>
      </c>
      <c r="K92" s="381">
        <f t="shared" si="112"/>
        <v>0</v>
      </c>
      <c r="L92" s="381">
        <f t="shared" si="112"/>
        <v>0</v>
      </c>
      <c r="M92" s="381">
        <f t="shared" si="112"/>
        <v>0</v>
      </c>
      <c r="N92" s="381">
        <f t="shared" si="112"/>
        <v>0</v>
      </c>
      <c r="O92" s="381">
        <f t="shared" si="112"/>
        <v>0</v>
      </c>
      <c r="P92" s="384">
        <f t="shared" si="99"/>
        <v>0</v>
      </c>
    </row>
    <row r="93" spans="2:17" ht="15.75" thickBot="1" x14ac:dyDescent="0.3">
      <c r="B93" s="77"/>
      <c r="C93" s="324" t="s">
        <v>78</v>
      </c>
      <c r="D93" s="387">
        <f t="shared" ref="D93:O93" si="113">D85+D92</f>
        <v>0</v>
      </c>
      <c r="E93" s="387">
        <f t="shared" si="113"/>
        <v>0</v>
      </c>
      <c r="F93" s="387">
        <f t="shared" si="113"/>
        <v>0</v>
      </c>
      <c r="G93" s="387">
        <f t="shared" si="113"/>
        <v>0</v>
      </c>
      <c r="H93" s="387">
        <f t="shared" si="113"/>
        <v>0</v>
      </c>
      <c r="I93" s="387">
        <f t="shared" si="113"/>
        <v>0</v>
      </c>
      <c r="J93" s="387">
        <f t="shared" si="113"/>
        <v>0</v>
      </c>
      <c r="K93" s="387">
        <f t="shared" si="113"/>
        <v>0</v>
      </c>
      <c r="L93" s="387">
        <f t="shared" si="113"/>
        <v>0</v>
      </c>
      <c r="M93" s="387">
        <f t="shared" si="113"/>
        <v>0</v>
      </c>
      <c r="N93" s="387">
        <f t="shared" si="113"/>
        <v>0</v>
      </c>
      <c r="O93" s="387">
        <f t="shared" si="113"/>
        <v>0</v>
      </c>
      <c r="P93" s="384">
        <f t="shared" ref="P93" si="114">SUM(D93:O93)</f>
        <v>0</v>
      </c>
    </row>
    <row r="94" spans="2:17" x14ac:dyDescent="0.25">
      <c r="B94" s="77"/>
      <c r="C94" s="326" t="s">
        <v>370</v>
      </c>
      <c r="D94" s="515"/>
      <c r="E94" s="515"/>
      <c r="F94" s="515"/>
      <c r="G94" s="515"/>
      <c r="H94" s="515"/>
      <c r="I94" s="515"/>
      <c r="J94" s="515"/>
      <c r="K94" s="515"/>
      <c r="L94" s="515"/>
      <c r="M94" s="515"/>
      <c r="N94" s="515"/>
      <c r="O94" s="515"/>
      <c r="P94" s="351" t="e">
        <f>P93/b_2024</f>
        <v>#DIV/0!</v>
      </c>
    </row>
    <row r="95" spans="2:17" ht="15.75" thickBot="1" x14ac:dyDescent="0.3">
      <c r="B95" s="91"/>
      <c r="C95" s="163" t="s">
        <v>79</v>
      </c>
      <c r="D95" s="382" t="e">
        <f t="shared" ref="D95:P95" si="115">D85/D93</f>
        <v>#DIV/0!</v>
      </c>
      <c r="E95" s="382" t="e">
        <f t="shared" si="115"/>
        <v>#DIV/0!</v>
      </c>
      <c r="F95" s="382" t="e">
        <f t="shared" si="115"/>
        <v>#DIV/0!</v>
      </c>
      <c r="G95" s="382" t="e">
        <f t="shared" si="115"/>
        <v>#DIV/0!</v>
      </c>
      <c r="H95" s="382" t="e">
        <f t="shared" si="115"/>
        <v>#DIV/0!</v>
      </c>
      <c r="I95" s="382" t="e">
        <f t="shared" si="115"/>
        <v>#DIV/0!</v>
      </c>
      <c r="J95" s="382" t="e">
        <f t="shared" si="115"/>
        <v>#DIV/0!</v>
      </c>
      <c r="K95" s="382" t="e">
        <f t="shared" si="115"/>
        <v>#DIV/0!</v>
      </c>
      <c r="L95" s="382" t="e">
        <f t="shared" si="115"/>
        <v>#DIV/0!</v>
      </c>
      <c r="M95" s="382" t="e">
        <f t="shared" si="115"/>
        <v>#DIV/0!</v>
      </c>
      <c r="N95" s="382" t="e">
        <f t="shared" si="115"/>
        <v>#DIV/0!</v>
      </c>
      <c r="O95" s="382" t="e">
        <f t="shared" si="115"/>
        <v>#DIV/0!</v>
      </c>
      <c r="P95" s="385" t="e">
        <f t="shared" si="115"/>
        <v>#DIV/0!</v>
      </c>
      <c r="Q95" s="97"/>
    </row>
    <row r="96" spans="2:17" x14ac:dyDescent="0.25">
      <c r="D96"/>
      <c r="E96"/>
      <c r="F96"/>
      <c r="G96"/>
      <c r="H96"/>
      <c r="I96"/>
      <c r="J96"/>
      <c r="K96"/>
      <c r="L96"/>
      <c r="M96"/>
      <c r="N96"/>
      <c r="O96"/>
      <c r="P96"/>
    </row>
    <row r="97" spans="2:21" ht="14.65" customHeight="1" thickBot="1" x14ac:dyDescent="0.3">
      <c r="D97"/>
      <c r="E97"/>
      <c r="F97"/>
      <c r="G97"/>
      <c r="H97"/>
      <c r="I97"/>
      <c r="J97"/>
      <c r="K97"/>
      <c r="L97"/>
      <c r="M97"/>
      <c r="N97"/>
      <c r="O97"/>
      <c r="P97"/>
    </row>
    <row r="98" spans="2:21" x14ac:dyDescent="0.25">
      <c r="B98" s="591" t="s">
        <v>9</v>
      </c>
      <c r="C98" s="615" t="s">
        <v>10</v>
      </c>
      <c r="D98" s="617" t="s">
        <v>11</v>
      </c>
      <c r="E98" s="588" t="s">
        <v>12</v>
      </c>
      <c r="F98" s="588" t="s">
        <v>13</v>
      </c>
      <c r="G98" s="588" t="s">
        <v>14</v>
      </c>
      <c r="H98" s="588" t="s">
        <v>15</v>
      </c>
      <c r="I98" s="588" t="s">
        <v>16</v>
      </c>
      <c r="J98" s="588" t="s">
        <v>17</v>
      </c>
      <c r="K98" s="588" t="s">
        <v>18</v>
      </c>
      <c r="L98" s="588" t="s">
        <v>19</v>
      </c>
      <c r="M98" s="588" t="s">
        <v>20</v>
      </c>
      <c r="N98" s="588" t="s">
        <v>21</v>
      </c>
      <c r="O98" s="618" t="s">
        <v>22</v>
      </c>
      <c r="P98" s="591" t="s">
        <v>23</v>
      </c>
    </row>
    <row r="99" spans="2:21" ht="15.75" thickBot="1" x14ac:dyDescent="0.3">
      <c r="B99" s="593"/>
      <c r="C99" s="616"/>
      <c r="D99" s="606"/>
      <c r="E99" s="590"/>
      <c r="F99" s="590"/>
      <c r="G99" s="590"/>
      <c r="H99" s="590"/>
      <c r="I99" s="590"/>
      <c r="J99" s="590"/>
      <c r="K99" s="590"/>
      <c r="L99" s="590"/>
      <c r="M99" s="590"/>
      <c r="N99" s="590"/>
      <c r="O99" s="619"/>
      <c r="P99" s="593"/>
    </row>
    <row r="100" spans="2:21" ht="14.65" customHeight="1" x14ac:dyDescent="0.25">
      <c r="B100" s="104">
        <f>ÜLDANDMED!F11</f>
        <v>2025</v>
      </c>
      <c r="C100" s="110" t="s">
        <v>58</v>
      </c>
      <c r="D100" s="333"/>
      <c r="E100" s="333"/>
      <c r="F100" s="333"/>
      <c r="G100" s="333"/>
      <c r="H100" s="333"/>
      <c r="I100" s="333"/>
      <c r="J100" s="333"/>
      <c r="K100" s="333"/>
      <c r="L100" s="333"/>
      <c r="M100" s="333"/>
      <c r="N100" s="333"/>
      <c r="O100" s="333"/>
      <c r="P100" s="367">
        <f>SUM(D100:O100)</f>
        <v>0</v>
      </c>
    </row>
    <row r="101" spans="2:21" s="2" customFormat="1" ht="14.65" customHeight="1" x14ac:dyDescent="0.2">
      <c r="B101" s="105"/>
      <c r="C101" s="46" t="s">
        <v>59</v>
      </c>
      <c r="D101" s="386">
        <f>D100*$G$5</f>
        <v>0</v>
      </c>
      <c r="E101" s="386">
        <f t="shared" ref="E101" si="116">E100*$G$5</f>
        <v>0</v>
      </c>
      <c r="F101" s="386">
        <f t="shared" ref="F101" si="117">F100*$G$5</f>
        <v>0</v>
      </c>
      <c r="G101" s="386">
        <f t="shared" ref="G101" si="118">G100*$G$5</f>
        <v>0</v>
      </c>
      <c r="H101" s="386">
        <f t="shared" ref="H101" si="119">H100*$G$5</f>
        <v>0</v>
      </c>
      <c r="I101" s="386">
        <f t="shared" ref="I101" si="120">I100*$G$5</f>
        <v>0</v>
      </c>
      <c r="J101" s="386">
        <f t="shared" ref="J101" si="121">J100*$G$5</f>
        <v>0</v>
      </c>
      <c r="K101" s="386">
        <f t="shared" ref="K101" si="122">K100*$G$5</f>
        <v>0</v>
      </c>
      <c r="L101" s="386">
        <f t="shared" ref="L101" si="123">L100*$G$5</f>
        <v>0</v>
      </c>
      <c r="M101" s="386">
        <f t="shared" ref="M101" si="124">M100*$G$5</f>
        <v>0</v>
      </c>
      <c r="N101" s="386">
        <f t="shared" ref="N101" si="125">N100*$G$5</f>
        <v>0</v>
      </c>
      <c r="O101" s="386">
        <f t="shared" ref="O101" si="126">O100*$G$5</f>
        <v>0</v>
      </c>
      <c r="P101" s="367">
        <f>SUM(D101:O101)</f>
        <v>0</v>
      </c>
    </row>
    <row r="102" spans="2:21" s="2" customFormat="1" ht="14.65" customHeight="1" thickBot="1" x14ac:dyDescent="0.3">
      <c r="B102" s="105"/>
      <c r="C102" s="321" t="s">
        <v>60</v>
      </c>
      <c r="D102" s="379"/>
      <c r="E102" s="379"/>
      <c r="F102" s="379"/>
      <c r="G102" s="379"/>
      <c r="H102" s="379"/>
      <c r="I102" s="379"/>
      <c r="J102" s="379"/>
      <c r="K102" s="379"/>
      <c r="L102" s="379"/>
      <c r="M102" s="379"/>
      <c r="N102" s="379"/>
      <c r="O102" s="379"/>
      <c r="P102" s="366">
        <f>SUM(D102:O102)</f>
        <v>0</v>
      </c>
      <c r="R102"/>
      <c r="S102"/>
      <c r="T102"/>
      <c r="U102"/>
    </row>
    <row r="103" spans="2:21" s="2" customFormat="1" ht="14.65" customHeight="1" x14ac:dyDescent="0.25">
      <c r="B103" s="105"/>
      <c r="C103" s="110" t="s">
        <v>61</v>
      </c>
      <c r="D103" s="333"/>
      <c r="E103" s="333"/>
      <c r="F103" s="333"/>
      <c r="G103" s="333"/>
      <c r="H103" s="333"/>
      <c r="I103" s="333"/>
      <c r="J103" s="333"/>
      <c r="K103" s="333"/>
      <c r="L103" s="333"/>
      <c r="M103" s="333"/>
      <c r="N103" s="333"/>
      <c r="O103" s="333"/>
      <c r="P103" s="367">
        <f t="shared" ref="P103:P110" si="127">SUM(D103:O103)</f>
        <v>0</v>
      </c>
      <c r="R103"/>
      <c r="S103"/>
      <c r="T103"/>
      <c r="U103"/>
    </row>
    <row r="104" spans="2:21" s="2" customFormat="1" ht="14.65" customHeight="1" x14ac:dyDescent="0.25">
      <c r="B104" s="87"/>
      <c r="C104" s="46" t="s">
        <v>62</v>
      </c>
      <c r="D104" s="386">
        <f>D103*$G$6</f>
        <v>0</v>
      </c>
      <c r="E104" s="386">
        <f t="shared" ref="E104" si="128">E103*$G$6</f>
        <v>0</v>
      </c>
      <c r="F104" s="386">
        <f t="shared" ref="F104" si="129">F103*$G$6</f>
        <v>0</v>
      </c>
      <c r="G104" s="386">
        <f t="shared" ref="G104" si="130">G103*$G$6</f>
        <v>0</v>
      </c>
      <c r="H104" s="386">
        <f t="shared" ref="H104" si="131">H103*$G$6</f>
        <v>0</v>
      </c>
      <c r="I104" s="386">
        <f t="shared" ref="I104" si="132">I103*$G$6</f>
        <v>0</v>
      </c>
      <c r="J104" s="386">
        <f t="shared" ref="J104" si="133">J103*$G$6</f>
        <v>0</v>
      </c>
      <c r="K104" s="386">
        <f t="shared" ref="K104" si="134">K103*$G$6</f>
        <v>0</v>
      </c>
      <c r="L104" s="386">
        <f t="shared" ref="L104" si="135">L103*$G$6</f>
        <v>0</v>
      </c>
      <c r="M104" s="386">
        <f t="shared" ref="M104" si="136">M103*$G$6</f>
        <v>0</v>
      </c>
      <c r="N104" s="386">
        <f t="shared" ref="N104" si="137">N103*$G$6</f>
        <v>0</v>
      </c>
      <c r="O104" s="386">
        <f t="shared" ref="O104" si="138">O103*$G$6</f>
        <v>0</v>
      </c>
      <c r="P104" s="367">
        <f t="shared" si="127"/>
        <v>0</v>
      </c>
      <c r="R104"/>
      <c r="S104"/>
      <c r="T104"/>
      <c r="U104"/>
    </row>
    <row r="105" spans="2:21" s="2" customFormat="1" ht="14.65" customHeight="1" thickBot="1" x14ac:dyDescent="0.3">
      <c r="B105" s="105"/>
      <c r="C105" s="321" t="s">
        <v>63</v>
      </c>
      <c r="D105" s="379"/>
      <c r="E105" s="379"/>
      <c r="F105" s="379"/>
      <c r="G105" s="379"/>
      <c r="H105" s="379"/>
      <c r="I105" s="379"/>
      <c r="J105" s="379"/>
      <c r="K105" s="379"/>
      <c r="L105" s="379"/>
      <c r="M105" s="379"/>
      <c r="N105" s="379"/>
      <c r="O105" s="379"/>
      <c r="P105" s="366">
        <f>SUM(D105:O105)</f>
        <v>0</v>
      </c>
      <c r="R105"/>
      <c r="S105"/>
      <c r="T105"/>
      <c r="U105"/>
    </row>
    <row r="106" spans="2:21" ht="14.65" customHeight="1" x14ac:dyDescent="0.25">
      <c r="B106" s="86"/>
      <c r="C106" s="110" t="s">
        <v>64</v>
      </c>
      <c r="D106" s="333"/>
      <c r="E106" s="333"/>
      <c r="F106" s="333"/>
      <c r="G106" s="333"/>
      <c r="H106" s="333"/>
      <c r="I106" s="333"/>
      <c r="J106" s="333"/>
      <c r="K106" s="333"/>
      <c r="L106" s="333"/>
      <c r="M106" s="333"/>
      <c r="N106" s="333"/>
      <c r="O106" s="333"/>
      <c r="P106" s="367">
        <f t="shared" si="127"/>
        <v>0</v>
      </c>
    </row>
    <row r="107" spans="2:21" ht="14.65" customHeight="1" x14ac:dyDescent="0.25">
      <c r="B107" s="105"/>
      <c r="C107" s="46" t="s">
        <v>65</v>
      </c>
      <c r="D107" s="386">
        <f>D106*$G$7</f>
        <v>0</v>
      </c>
      <c r="E107" s="386">
        <f t="shared" ref="E107" si="139">E106*$G$7</f>
        <v>0</v>
      </c>
      <c r="F107" s="386">
        <f t="shared" ref="F107" si="140">F106*$G$7</f>
        <v>0</v>
      </c>
      <c r="G107" s="386">
        <f t="shared" ref="G107" si="141">G106*$G$7</f>
        <v>0</v>
      </c>
      <c r="H107" s="386">
        <f t="shared" ref="H107" si="142">H106*$G$7</f>
        <v>0</v>
      </c>
      <c r="I107" s="386">
        <f t="shared" ref="I107" si="143">I106*$G$7</f>
        <v>0</v>
      </c>
      <c r="J107" s="386">
        <f t="shared" ref="J107" si="144">J106*$G$7</f>
        <v>0</v>
      </c>
      <c r="K107" s="386">
        <f t="shared" ref="K107" si="145">K106*$G$7</f>
        <v>0</v>
      </c>
      <c r="L107" s="386">
        <f t="shared" ref="L107" si="146">L106*$G$7</f>
        <v>0</v>
      </c>
      <c r="M107" s="386">
        <f t="shared" ref="M107" si="147">M106*$G$7</f>
        <v>0</v>
      </c>
      <c r="N107" s="386">
        <f t="shared" ref="N107" si="148">N106*$G$7</f>
        <v>0</v>
      </c>
      <c r="O107" s="386">
        <f t="shared" ref="O107" si="149">O106*$G$7</f>
        <v>0</v>
      </c>
      <c r="P107" s="367">
        <f t="shared" si="127"/>
        <v>0</v>
      </c>
    </row>
    <row r="108" spans="2:21" ht="14.65" customHeight="1" thickBot="1" x14ac:dyDescent="0.3">
      <c r="B108" s="105"/>
      <c r="C108" s="321" t="s">
        <v>66</v>
      </c>
      <c r="D108" s="379"/>
      <c r="E108" s="379"/>
      <c r="F108" s="379"/>
      <c r="G108" s="379"/>
      <c r="H108" s="379"/>
      <c r="I108" s="379"/>
      <c r="J108" s="379"/>
      <c r="K108" s="379"/>
      <c r="L108" s="379"/>
      <c r="M108" s="379"/>
      <c r="N108" s="379"/>
      <c r="O108" s="379"/>
      <c r="P108" s="366">
        <f>SUM(D108:O108)</f>
        <v>0</v>
      </c>
    </row>
    <row r="109" spans="2:21" ht="14.65" customHeight="1" x14ac:dyDescent="0.25">
      <c r="B109" s="105"/>
      <c r="C109" s="110" t="s">
        <v>67</v>
      </c>
      <c r="D109" s="333"/>
      <c r="E109" s="333"/>
      <c r="F109" s="333"/>
      <c r="G109" s="333"/>
      <c r="H109" s="333"/>
      <c r="I109" s="333"/>
      <c r="J109" s="333"/>
      <c r="K109" s="333"/>
      <c r="L109" s="333"/>
      <c r="M109" s="333"/>
      <c r="N109" s="333"/>
      <c r="O109" s="333"/>
      <c r="P109" s="367">
        <f t="shared" si="127"/>
        <v>0</v>
      </c>
    </row>
    <row r="110" spans="2:21" ht="14.65" customHeight="1" x14ac:dyDescent="0.25">
      <c r="B110" s="105"/>
      <c r="C110" s="46" t="s">
        <v>68</v>
      </c>
      <c r="D110" s="386">
        <f>D109*$G$8</f>
        <v>0</v>
      </c>
      <c r="E110" s="386">
        <f t="shared" ref="E110" si="150">E109*$G$8</f>
        <v>0</v>
      </c>
      <c r="F110" s="386">
        <f t="shared" ref="F110" si="151">F109*$G$8</f>
        <v>0</v>
      </c>
      <c r="G110" s="386">
        <f t="shared" ref="G110" si="152">G109*$G$8</f>
        <v>0</v>
      </c>
      <c r="H110" s="386">
        <f t="shared" ref="H110" si="153">H109*$G$8</f>
        <v>0</v>
      </c>
      <c r="I110" s="386">
        <f t="shared" ref="I110" si="154">I109*$G$8</f>
        <v>0</v>
      </c>
      <c r="J110" s="386">
        <f t="shared" ref="J110" si="155">J109*$G$8</f>
        <v>0</v>
      </c>
      <c r="K110" s="386">
        <f t="shared" ref="K110" si="156">K109*$G$8</f>
        <v>0</v>
      </c>
      <c r="L110" s="386">
        <f t="shared" ref="L110" si="157">L109*$G$8</f>
        <v>0</v>
      </c>
      <c r="M110" s="386">
        <f t="shared" ref="M110" si="158">M109*$G$8</f>
        <v>0</v>
      </c>
      <c r="N110" s="386">
        <f t="shared" ref="N110" si="159">N109*$G$8</f>
        <v>0</v>
      </c>
      <c r="O110" s="386">
        <f t="shared" ref="O110" si="160">O109*$G$8</f>
        <v>0</v>
      </c>
      <c r="P110" s="367">
        <f t="shared" si="127"/>
        <v>0</v>
      </c>
    </row>
    <row r="111" spans="2:21" ht="14.65" customHeight="1" thickBot="1" x14ac:dyDescent="0.3">
      <c r="B111" s="105"/>
      <c r="C111" s="321" t="s">
        <v>69</v>
      </c>
      <c r="D111" s="379"/>
      <c r="E111" s="379"/>
      <c r="F111" s="379"/>
      <c r="G111" s="379"/>
      <c r="H111" s="379"/>
      <c r="I111" s="379"/>
      <c r="J111" s="379"/>
      <c r="K111" s="379"/>
      <c r="L111" s="379"/>
      <c r="M111" s="379"/>
      <c r="N111" s="379"/>
      <c r="O111" s="379"/>
      <c r="P111" s="366">
        <f>SUM(D111:O111)</f>
        <v>0</v>
      </c>
    </row>
    <row r="112" spans="2:21" ht="15.75" thickBot="1" x14ac:dyDescent="0.3">
      <c r="B112" s="105"/>
      <c r="C112" s="324" t="s">
        <v>70</v>
      </c>
      <c r="D112" s="381">
        <f>D107+D108+D104+D105+D110+D111+D101+D102</f>
        <v>0</v>
      </c>
      <c r="E112" s="381">
        <f t="shared" ref="E112:O112" si="161">E107+E108+E104+E105+E110+E111+E101+E102</f>
        <v>0</v>
      </c>
      <c r="F112" s="381">
        <f t="shared" si="161"/>
        <v>0</v>
      </c>
      <c r="G112" s="381">
        <f t="shared" si="161"/>
        <v>0</v>
      </c>
      <c r="H112" s="381">
        <f t="shared" si="161"/>
        <v>0</v>
      </c>
      <c r="I112" s="381">
        <f t="shared" si="161"/>
        <v>0</v>
      </c>
      <c r="J112" s="381">
        <f t="shared" si="161"/>
        <v>0</v>
      </c>
      <c r="K112" s="381">
        <f t="shared" si="161"/>
        <v>0</v>
      </c>
      <c r="L112" s="381">
        <f t="shared" si="161"/>
        <v>0</v>
      </c>
      <c r="M112" s="381">
        <f t="shared" si="161"/>
        <v>0</v>
      </c>
      <c r="N112" s="381">
        <f t="shared" si="161"/>
        <v>0</v>
      </c>
      <c r="O112" s="381">
        <f t="shared" si="161"/>
        <v>0</v>
      </c>
      <c r="P112" s="384">
        <f>SUM(D112:O112)</f>
        <v>0</v>
      </c>
    </row>
    <row r="113" spans="2:17" ht="15.75" x14ac:dyDescent="0.25">
      <c r="B113" s="105"/>
      <c r="C113" s="322" t="s">
        <v>71</v>
      </c>
      <c r="D113" s="370"/>
      <c r="E113" s="370"/>
      <c r="F113" s="370"/>
      <c r="G113" s="370"/>
      <c r="H113" s="370"/>
      <c r="I113" s="370"/>
      <c r="J113" s="370"/>
      <c r="K113" s="370"/>
      <c r="L113" s="370"/>
      <c r="M113" s="370"/>
      <c r="N113" s="370"/>
      <c r="O113" s="370"/>
      <c r="P113" s="383">
        <f t="shared" ref="P113:P120" si="162">SUM(D113:O113)</f>
        <v>0</v>
      </c>
      <c r="Q113" s="73"/>
    </row>
    <row r="114" spans="2:17" x14ac:dyDescent="0.25">
      <c r="B114" s="105"/>
      <c r="C114" s="92" t="s">
        <v>72</v>
      </c>
      <c r="D114" s="386">
        <f>D113*$G$9</f>
        <v>0</v>
      </c>
      <c r="E114" s="386">
        <f t="shared" ref="E114" si="163">E113*$G$9</f>
        <v>0</v>
      </c>
      <c r="F114" s="386">
        <f t="shared" ref="F114" si="164">F113*$G$9</f>
        <v>0</v>
      </c>
      <c r="G114" s="386">
        <f t="shared" ref="G114" si="165">G113*$G$9</f>
        <v>0</v>
      </c>
      <c r="H114" s="386">
        <f t="shared" ref="H114" si="166">H113*$G$9</f>
        <v>0</v>
      </c>
      <c r="I114" s="386">
        <f t="shared" ref="I114" si="167">I113*$G$9</f>
        <v>0</v>
      </c>
      <c r="J114" s="386">
        <f t="shared" ref="J114" si="168">J113*$G$9</f>
        <v>0</v>
      </c>
      <c r="K114" s="386">
        <f t="shared" ref="K114" si="169">K113*$G$9</f>
        <v>0</v>
      </c>
      <c r="L114" s="386">
        <f t="shared" ref="L114" si="170">L113*$G$9</f>
        <v>0</v>
      </c>
      <c r="M114" s="386">
        <f t="shared" ref="M114" si="171">M113*$G$9</f>
        <v>0</v>
      </c>
      <c r="N114" s="386">
        <f t="shared" ref="N114" si="172">N113*$G$9</f>
        <v>0</v>
      </c>
      <c r="O114" s="386">
        <f t="shared" ref="O114" si="173">O113*$G$9</f>
        <v>0</v>
      </c>
      <c r="P114" s="367">
        <f t="shared" si="162"/>
        <v>0</v>
      </c>
      <c r="Q114" s="73"/>
    </row>
    <row r="115" spans="2:17" ht="15.75" thickBot="1" x14ac:dyDescent="0.3">
      <c r="B115" s="105"/>
      <c r="C115" s="266" t="s">
        <v>73</v>
      </c>
      <c r="D115" s="379"/>
      <c r="E115" s="379"/>
      <c r="F115" s="379"/>
      <c r="G115" s="379"/>
      <c r="H115" s="379"/>
      <c r="I115" s="379"/>
      <c r="J115" s="379"/>
      <c r="K115" s="379"/>
      <c r="L115" s="379"/>
      <c r="M115" s="379"/>
      <c r="N115" s="379"/>
      <c r="O115" s="379"/>
      <c r="P115" s="366">
        <f>SUM(D115:O115)</f>
        <v>0</v>
      </c>
      <c r="Q115" s="73"/>
    </row>
    <row r="116" spans="2:17" ht="15.75" x14ac:dyDescent="0.25">
      <c r="B116" s="105"/>
      <c r="C116" s="322" t="s">
        <v>74</v>
      </c>
      <c r="D116" s="333"/>
      <c r="E116" s="333"/>
      <c r="F116" s="333"/>
      <c r="G116" s="333"/>
      <c r="H116" s="333"/>
      <c r="I116" s="333"/>
      <c r="J116" s="333"/>
      <c r="K116" s="333"/>
      <c r="L116" s="333"/>
      <c r="M116" s="333"/>
      <c r="N116" s="333"/>
      <c r="O116" s="333"/>
      <c r="P116" s="367">
        <f t="shared" si="162"/>
        <v>0</v>
      </c>
      <c r="Q116" s="73"/>
    </row>
    <row r="117" spans="2:17" ht="14.65" customHeight="1" x14ac:dyDescent="0.25">
      <c r="B117" s="105"/>
      <c r="C117" s="92" t="s">
        <v>75</v>
      </c>
      <c r="D117" s="386">
        <f t="shared" ref="D117:O117" si="174">D116*$G$9</f>
        <v>0</v>
      </c>
      <c r="E117" s="386">
        <f t="shared" si="174"/>
        <v>0</v>
      </c>
      <c r="F117" s="386">
        <f t="shared" si="174"/>
        <v>0</v>
      </c>
      <c r="G117" s="386">
        <f t="shared" si="174"/>
        <v>0</v>
      </c>
      <c r="H117" s="386">
        <f t="shared" si="174"/>
        <v>0</v>
      </c>
      <c r="I117" s="386">
        <f t="shared" si="174"/>
        <v>0</v>
      </c>
      <c r="J117" s="386">
        <f t="shared" si="174"/>
        <v>0</v>
      </c>
      <c r="K117" s="386">
        <f t="shared" si="174"/>
        <v>0</v>
      </c>
      <c r="L117" s="386">
        <f t="shared" si="174"/>
        <v>0</v>
      </c>
      <c r="M117" s="386">
        <f t="shared" si="174"/>
        <v>0</v>
      </c>
      <c r="N117" s="386">
        <f t="shared" si="174"/>
        <v>0</v>
      </c>
      <c r="O117" s="386">
        <f t="shared" si="174"/>
        <v>0</v>
      </c>
      <c r="P117" s="383">
        <f t="shared" si="162"/>
        <v>0</v>
      </c>
    </row>
    <row r="118" spans="2:17" ht="14.65" customHeight="1" thickBot="1" x14ac:dyDescent="0.3">
      <c r="B118" s="105"/>
      <c r="C118" s="266" t="s">
        <v>76</v>
      </c>
      <c r="D118" s="379"/>
      <c r="E118" s="379"/>
      <c r="F118" s="379"/>
      <c r="G118" s="379"/>
      <c r="H118" s="379"/>
      <c r="I118" s="379"/>
      <c r="J118" s="379"/>
      <c r="K118" s="379"/>
      <c r="L118" s="379"/>
      <c r="M118" s="379"/>
      <c r="N118" s="379"/>
      <c r="O118" s="379"/>
      <c r="P118" s="366">
        <f>SUM(D118:O118)</f>
        <v>0</v>
      </c>
    </row>
    <row r="119" spans="2:17" ht="14.65" customHeight="1" thickBot="1" x14ac:dyDescent="0.3">
      <c r="B119" s="105"/>
      <c r="C119" s="325" t="s">
        <v>77</v>
      </c>
      <c r="D119" s="381">
        <f>D114+D115+D117+D118</f>
        <v>0</v>
      </c>
      <c r="E119" s="381">
        <f t="shared" ref="E119:O119" si="175">E114+E115+E117+E118</f>
        <v>0</v>
      </c>
      <c r="F119" s="381">
        <f t="shared" si="175"/>
        <v>0</v>
      </c>
      <c r="G119" s="381">
        <f t="shared" si="175"/>
        <v>0</v>
      </c>
      <c r="H119" s="381">
        <f t="shared" si="175"/>
        <v>0</v>
      </c>
      <c r="I119" s="381">
        <f t="shared" si="175"/>
        <v>0</v>
      </c>
      <c r="J119" s="381">
        <f t="shared" si="175"/>
        <v>0</v>
      </c>
      <c r="K119" s="381">
        <f t="shared" si="175"/>
        <v>0</v>
      </c>
      <c r="L119" s="381">
        <f t="shared" si="175"/>
        <v>0</v>
      </c>
      <c r="M119" s="381">
        <f t="shared" si="175"/>
        <v>0</v>
      </c>
      <c r="N119" s="381">
        <f t="shared" si="175"/>
        <v>0</v>
      </c>
      <c r="O119" s="381">
        <f t="shared" si="175"/>
        <v>0</v>
      </c>
      <c r="P119" s="384">
        <f t="shared" si="162"/>
        <v>0</v>
      </c>
    </row>
    <row r="120" spans="2:17" ht="15.75" thickBot="1" x14ac:dyDescent="0.3">
      <c r="B120" s="105"/>
      <c r="C120" s="324" t="s">
        <v>78</v>
      </c>
      <c r="D120" s="387">
        <f t="shared" ref="D120:O120" si="176">D112+D119</f>
        <v>0</v>
      </c>
      <c r="E120" s="387">
        <f t="shared" si="176"/>
        <v>0</v>
      </c>
      <c r="F120" s="387">
        <f t="shared" si="176"/>
        <v>0</v>
      </c>
      <c r="G120" s="387">
        <f t="shared" si="176"/>
        <v>0</v>
      </c>
      <c r="H120" s="387">
        <f t="shared" si="176"/>
        <v>0</v>
      </c>
      <c r="I120" s="387">
        <f t="shared" si="176"/>
        <v>0</v>
      </c>
      <c r="J120" s="387">
        <f t="shared" si="176"/>
        <v>0</v>
      </c>
      <c r="K120" s="387">
        <f t="shared" si="176"/>
        <v>0</v>
      </c>
      <c r="L120" s="387">
        <f t="shared" si="176"/>
        <v>0</v>
      </c>
      <c r="M120" s="387">
        <f t="shared" si="176"/>
        <v>0</v>
      </c>
      <c r="N120" s="387">
        <f t="shared" si="176"/>
        <v>0</v>
      </c>
      <c r="O120" s="387">
        <f t="shared" si="176"/>
        <v>0</v>
      </c>
      <c r="P120" s="384">
        <f t="shared" si="162"/>
        <v>0</v>
      </c>
    </row>
    <row r="121" spans="2:17" x14ac:dyDescent="0.25">
      <c r="B121" s="105"/>
      <c r="C121" s="326" t="s">
        <v>370</v>
      </c>
      <c r="D121" s="515"/>
      <c r="E121" s="515"/>
      <c r="F121" s="515"/>
      <c r="G121" s="515"/>
      <c r="H121" s="515"/>
      <c r="I121" s="515"/>
      <c r="J121" s="515"/>
      <c r="K121" s="515"/>
      <c r="L121" s="515"/>
      <c r="M121" s="515"/>
      <c r="N121" s="515"/>
      <c r="O121" s="515"/>
      <c r="P121" s="351" t="e">
        <f>P120/b_2025</f>
        <v>#DIV/0!</v>
      </c>
    </row>
    <row r="122" spans="2:17" ht="15.75" thickBot="1" x14ac:dyDescent="0.3">
      <c r="B122" s="106"/>
      <c r="C122" s="163" t="s">
        <v>79</v>
      </c>
      <c r="D122" s="382" t="e">
        <f t="shared" ref="D122:P122" si="177">D112/D120</f>
        <v>#DIV/0!</v>
      </c>
      <c r="E122" s="382" t="e">
        <f t="shared" si="177"/>
        <v>#DIV/0!</v>
      </c>
      <c r="F122" s="382" t="e">
        <f t="shared" si="177"/>
        <v>#DIV/0!</v>
      </c>
      <c r="G122" s="382" t="e">
        <f t="shared" si="177"/>
        <v>#DIV/0!</v>
      </c>
      <c r="H122" s="382" t="e">
        <f t="shared" si="177"/>
        <v>#DIV/0!</v>
      </c>
      <c r="I122" s="382" t="e">
        <f t="shared" si="177"/>
        <v>#DIV/0!</v>
      </c>
      <c r="J122" s="382" t="e">
        <f t="shared" si="177"/>
        <v>#DIV/0!</v>
      </c>
      <c r="K122" s="382" t="e">
        <f t="shared" si="177"/>
        <v>#DIV/0!</v>
      </c>
      <c r="L122" s="382" t="e">
        <f t="shared" si="177"/>
        <v>#DIV/0!</v>
      </c>
      <c r="M122" s="382" t="e">
        <f t="shared" si="177"/>
        <v>#DIV/0!</v>
      </c>
      <c r="N122" s="382" t="e">
        <f t="shared" si="177"/>
        <v>#DIV/0!</v>
      </c>
      <c r="O122" s="382" t="e">
        <f t="shared" si="177"/>
        <v>#DIV/0!</v>
      </c>
      <c r="P122" s="385" t="e">
        <f t="shared" si="177"/>
        <v>#DIV/0!</v>
      </c>
      <c r="Q122" s="97"/>
    </row>
    <row r="123" spans="2:17" ht="14.65" customHeight="1" x14ac:dyDescent="0.25">
      <c r="B123" s="58"/>
      <c r="D123"/>
      <c r="E123"/>
      <c r="F123"/>
      <c r="G123"/>
      <c r="H123"/>
      <c r="I123"/>
      <c r="J123"/>
      <c r="K123"/>
      <c r="L123"/>
      <c r="M123"/>
      <c r="N123"/>
      <c r="O123"/>
      <c r="P123"/>
    </row>
    <row r="124" spans="2:17" ht="14.65" customHeight="1" thickBot="1" x14ac:dyDescent="0.3">
      <c r="B124" s="58"/>
      <c r="D124"/>
      <c r="E124"/>
      <c r="F124"/>
      <c r="G124"/>
      <c r="H124"/>
      <c r="I124"/>
      <c r="J124"/>
      <c r="K124"/>
      <c r="L124"/>
      <c r="M124"/>
      <c r="N124"/>
      <c r="O124"/>
      <c r="P124"/>
    </row>
    <row r="125" spans="2:17" x14ac:dyDescent="0.25">
      <c r="B125" s="591" t="s">
        <v>9</v>
      </c>
      <c r="C125" s="615" t="s">
        <v>10</v>
      </c>
      <c r="D125" s="617" t="s">
        <v>11</v>
      </c>
      <c r="E125" s="588" t="s">
        <v>12</v>
      </c>
      <c r="F125" s="588" t="s">
        <v>13</v>
      </c>
      <c r="G125" s="588" t="s">
        <v>14</v>
      </c>
      <c r="H125" s="588" t="s">
        <v>15</v>
      </c>
      <c r="I125" s="588" t="s">
        <v>16</v>
      </c>
      <c r="J125" s="588" t="s">
        <v>17</v>
      </c>
      <c r="K125" s="588" t="s">
        <v>18</v>
      </c>
      <c r="L125" s="588" t="s">
        <v>19</v>
      </c>
      <c r="M125" s="588" t="s">
        <v>20</v>
      </c>
      <c r="N125" s="588" t="s">
        <v>21</v>
      </c>
      <c r="O125" s="618" t="s">
        <v>22</v>
      </c>
      <c r="P125" s="591" t="s">
        <v>23</v>
      </c>
    </row>
    <row r="126" spans="2:17" ht="15.75" thickBot="1" x14ac:dyDescent="0.3">
      <c r="B126" s="593"/>
      <c r="C126" s="616"/>
      <c r="D126" s="606"/>
      <c r="E126" s="590"/>
      <c r="F126" s="590"/>
      <c r="G126" s="590"/>
      <c r="H126" s="590"/>
      <c r="I126" s="590"/>
      <c r="J126" s="590"/>
      <c r="K126" s="590"/>
      <c r="L126" s="590"/>
      <c r="M126" s="590"/>
      <c r="N126" s="590"/>
      <c r="O126" s="619"/>
      <c r="P126" s="593"/>
    </row>
    <row r="127" spans="2:17" ht="14.65" customHeight="1" x14ac:dyDescent="0.25">
      <c r="B127" s="104">
        <f>ÜLDANDMED!G11</f>
        <v>2026</v>
      </c>
      <c r="C127" s="110" t="s">
        <v>58</v>
      </c>
      <c r="D127" s="333"/>
      <c r="E127" s="333"/>
      <c r="F127" s="333"/>
      <c r="G127" s="333"/>
      <c r="H127" s="333"/>
      <c r="I127" s="333"/>
      <c r="J127" s="333"/>
      <c r="K127" s="333"/>
      <c r="L127" s="333"/>
      <c r="M127" s="333"/>
      <c r="N127" s="333"/>
      <c r="O127" s="333"/>
      <c r="P127" s="367">
        <f>SUM(D127:O127)</f>
        <v>0</v>
      </c>
    </row>
    <row r="128" spans="2:17" s="2" customFormat="1" ht="14.65" customHeight="1" x14ac:dyDescent="0.2">
      <c r="B128" s="77"/>
      <c r="C128" s="46" t="s">
        <v>59</v>
      </c>
      <c r="D128" s="386">
        <f>D127*$G$5</f>
        <v>0</v>
      </c>
      <c r="E128" s="386">
        <f t="shared" ref="E128" si="178">E127*$G$5</f>
        <v>0</v>
      </c>
      <c r="F128" s="386">
        <f t="shared" ref="F128" si="179">F127*$G$5</f>
        <v>0</v>
      </c>
      <c r="G128" s="386">
        <f t="shared" ref="G128" si="180">G127*$G$5</f>
        <v>0</v>
      </c>
      <c r="H128" s="386">
        <f t="shared" ref="H128" si="181">H127*$G$5</f>
        <v>0</v>
      </c>
      <c r="I128" s="386">
        <f t="shared" ref="I128" si="182">I127*$G$5</f>
        <v>0</v>
      </c>
      <c r="J128" s="386">
        <f t="shared" ref="J128" si="183">J127*$G$5</f>
        <v>0</v>
      </c>
      <c r="K128" s="386">
        <f t="shared" ref="K128" si="184">K127*$G$5</f>
        <v>0</v>
      </c>
      <c r="L128" s="386">
        <f t="shared" ref="L128" si="185">L127*$G$5</f>
        <v>0</v>
      </c>
      <c r="M128" s="386">
        <f t="shared" ref="M128" si="186">M127*$G$5</f>
        <v>0</v>
      </c>
      <c r="N128" s="386">
        <f t="shared" ref="N128" si="187">N127*$G$5</f>
        <v>0</v>
      </c>
      <c r="O128" s="386">
        <f t="shared" ref="O128" si="188">O127*$G$5</f>
        <v>0</v>
      </c>
      <c r="P128" s="367">
        <f>SUM(D128:O128)</f>
        <v>0</v>
      </c>
    </row>
    <row r="129" spans="2:21" s="2" customFormat="1" ht="14.65" customHeight="1" thickBot="1" x14ac:dyDescent="0.3">
      <c r="B129" s="105"/>
      <c r="C129" s="321" t="s">
        <v>60</v>
      </c>
      <c r="D129" s="379"/>
      <c r="E129" s="379"/>
      <c r="F129" s="379"/>
      <c r="G129" s="379"/>
      <c r="H129" s="379"/>
      <c r="I129" s="379"/>
      <c r="J129" s="379"/>
      <c r="K129" s="379"/>
      <c r="L129" s="379"/>
      <c r="M129" s="379"/>
      <c r="N129" s="379"/>
      <c r="O129" s="379"/>
      <c r="P129" s="366">
        <f>SUM(D129:O129)</f>
        <v>0</v>
      </c>
      <c r="R129"/>
      <c r="S129"/>
      <c r="T129"/>
      <c r="U129"/>
    </row>
    <row r="130" spans="2:21" s="2" customFormat="1" ht="14.65" customHeight="1" x14ac:dyDescent="0.25">
      <c r="B130" s="105"/>
      <c r="C130" s="110" t="s">
        <v>61</v>
      </c>
      <c r="D130" s="333"/>
      <c r="E130" s="333"/>
      <c r="F130" s="333"/>
      <c r="G130" s="333"/>
      <c r="H130" s="333"/>
      <c r="I130" s="333"/>
      <c r="J130" s="333"/>
      <c r="K130" s="333"/>
      <c r="L130" s="333"/>
      <c r="M130" s="333"/>
      <c r="N130" s="333"/>
      <c r="O130" s="333"/>
      <c r="P130" s="367">
        <f t="shared" ref="P130:P137" si="189">SUM(D130:O130)</f>
        <v>0</v>
      </c>
      <c r="R130"/>
      <c r="S130"/>
      <c r="T130"/>
      <c r="U130"/>
    </row>
    <row r="131" spans="2:21" s="2" customFormat="1" ht="14.65" customHeight="1" x14ac:dyDescent="0.25">
      <c r="B131" s="87"/>
      <c r="C131" s="46" t="s">
        <v>62</v>
      </c>
      <c r="D131" s="386">
        <f>D130*$G$6</f>
        <v>0</v>
      </c>
      <c r="E131" s="386">
        <f t="shared" ref="E131" si="190">E130*$G$6</f>
        <v>0</v>
      </c>
      <c r="F131" s="386">
        <f t="shared" ref="F131" si="191">F130*$G$6</f>
        <v>0</v>
      </c>
      <c r="G131" s="386">
        <f t="shared" ref="G131" si="192">G130*$G$6</f>
        <v>0</v>
      </c>
      <c r="H131" s="386">
        <f t="shared" ref="H131" si="193">H130*$G$6</f>
        <v>0</v>
      </c>
      <c r="I131" s="386">
        <f t="shared" ref="I131" si="194">I130*$G$6</f>
        <v>0</v>
      </c>
      <c r="J131" s="386">
        <f t="shared" ref="J131" si="195">J130*$G$6</f>
        <v>0</v>
      </c>
      <c r="K131" s="386">
        <f t="shared" ref="K131" si="196">K130*$G$6</f>
        <v>0</v>
      </c>
      <c r="L131" s="386">
        <f t="shared" ref="L131" si="197">L130*$G$6</f>
        <v>0</v>
      </c>
      <c r="M131" s="386">
        <f t="shared" ref="M131" si="198">M130*$G$6</f>
        <v>0</v>
      </c>
      <c r="N131" s="386">
        <f t="shared" ref="N131" si="199">N130*$G$6</f>
        <v>0</v>
      </c>
      <c r="O131" s="386">
        <f t="shared" ref="O131" si="200">O130*$G$6</f>
        <v>0</v>
      </c>
      <c r="P131" s="367">
        <f t="shared" si="189"/>
        <v>0</v>
      </c>
      <c r="R131"/>
      <c r="S131"/>
      <c r="T131"/>
      <c r="U131"/>
    </row>
    <row r="132" spans="2:21" s="2" customFormat="1" ht="14.65" customHeight="1" thickBot="1" x14ac:dyDescent="0.3">
      <c r="B132" s="105"/>
      <c r="C132" s="321" t="s">
        <v>63</v>
      </c>
      <c r="D132" s="379"/>
      <c r="E132" s="379"/>
      <c r="F132" s="379"/>
      <c r="G132" s="379"/>
      <c r="H132" s="379"/>
      <c r="I132" s="379"/>
      <c r="J132" s="379"/>
      <c r="K132" s="379"/>
      <c r="L132" s="379"/>
      <c r="M132" s="379"/>
      <c r="N132" s="379"/>
      <c r="O132" s="379"/>
      <c r="P132" s="366">
        <f>SUM(D132:O132)</f>
        <v>0</v>
      </c>
      <c r="R132"/>
      <c r="S132"/>
      <c r="T132"/>
      <c r="U132"/>
    </row>
    <row r="133" spans="2:21" ht="14.65" customHeight="1" x14ac:dyDescent="0.25">
      <c r="B133" s="86"/>
      <c r="C133" s="110" t="s">
        <v>64</v>
      </c>
      <c r="D133" s="333"/>
      <c r="E133" s="333"/>
      <c r="F133" s="333"/>
      <c r="G133" s="333"/>
      <c r="H133" s="333"/>
      <c r="I133" s="333"/>
      <c r="J133" s="333"/>
      <c r="K133" s="333"/>
      <c r="L133" s="333"/>
      <c r="M133" s="333"/>
      <c r="N133" s="333"/>
      <c r="O133" s="333"/>
      <c r="P133" s="367">
        <f t="shared" si="189"/>
        <v>0</v>
      </c>
    </row>
    <row r="134" spans="2:21" ht="14.65" customHeight="1" x14ac:dyDescent="0.25">
      <c r="B134" s="77"/>
      <c r="C134" s="46" t="s">
        <v>65</v>
      </c>
      <c r="D134" s="386">
        <f>D133*$G$7</f>
        <v>0</v>
      </c>
      <c r="E134" s="386">
        <f t="shared" ref="E134" si="201">E133*$G$7</f>
        <v>0</v>
      </c>
      <c r="F134" s="386">
        <f t="shared" ref="F134" si="202">F133*$G$7</f>
        <v>0</v>
      </c>
      <c r="G134" s="386">
        <f t="shared" ref="G134" si="203">G133*$G$7</f>
        <v>0</v>
      </c>
      <c r="H134" s="386">
        <f t="shared" ref="H134" si="204">H133*$G$7</f>
        <v>0</v>
      </c>
      <c r="I134" s="386">
        <f t="shared" ref="I134" si="205">I133*$G$7</f>
        <v>0</v>
      </c>
      <c r="J134" s="386">
        <f t="shared" ref="J134" si="206">J133*$G$7</f>
        <v>0</v>
      </c>
      <c r="K134" s="386">
        <f t="shared" ref="K134" si="207">K133*$G$7</f>
        <v>0</v>
      </c>
      <c r="L134" s="386">
        <f t="shared" ref="L134" si="208">L133*$G$7</f>
        <v>0</v>
      </c>
      <c r="M134" s="386">
        <f t="shared" ref="M134" si="209">M133*$G$7</f>
        <v>0</v>
      </c>
      <c r="N134" s="386">
        <f t="shared" ref="N134" si="210">N133*$G$7</f>
        <v>0</v>
      </c>
      <c r="O134" s="386">
        <f t="shared" ref="O134" si="211">O133*$G$7</f>
        <v>0</v>
      </c>
      <c r="P134" s="367">
        <f t="shared" si="189"/>
        <v>0</v>
      </c>
    </row>
    <row r="135" spans="2:21" ht="14.65" customHeight="1" thickBot="1" x14ac:dyDescent="0.3">
      <c r="B135" s="105"/>
      <c r="C135" s="321" t="s">
        <v>66</v>
      </c>
      <c r="D135" s="379"/>
      <c r="E135" s="379"/>
      <c r="F135" s="379"/>
      <c r="G135" s="379"/>
      <c r="H135" s="379"/>
      <c r="I135" s="379"/>
      <c r="J135" s="379"/>
      <c r="K135" s="379"/>
      <c r="L135" s="379"/>
      <c r="M135" s="379"/>
      <c r="N135" s="379"/>
      <c r="O135" s="379"/>
      <c r="P135" s="366">
        <f>SUM(D135:O135)</f>
        <v>0</v>
      </c>
    </row>
    <row r="136" spans="2:21" ht="14.65" customHeight="1" x14ac:dyDescent="0.25">
      <c r="B136" s="77"/>
      <c r="C136" s="110" t="s">
        <v>67</v>
      </c>
      <c r="D136" s="333"/>
      <c r="E136" s="333"/>
      <c r="F136" s="333"/>
      <c r="G136" s="333"/>
      <c r="H136" s="333"/>
      <c r="I136" s="333"/>
      <c r="J136" s="333"/>
      <c r="K136" s="333"/>
      <c r="L136" s="333"/>
      <c r="M136" s="333"/>
      <c r="N136" s="333"/>
      <c r="O136" s="333"/>
      <c r="P136" s="367">
        <f t="shared" si="189"/>
        <v>0</v>
      </c>
    </row>
    <row r="137" spans="2:21" ht="14.65" customHeight="1" x14ac:dyDescent="0.25">
      <c r="B137" s="77"/>
      <c r="C137" s="46" t="s">
        <v>68</v>
      </c>
      <c r="D137" s="386">
        <f>D136*$G$8</f>
        <v>0</v>
      </c>
      <c r="E137" s="386">
        <f t="shared" ref="E137" si="212">E136*$G$8</f>
        <v>0</v>
      </c>
      <c r="F137" s="386">
        <f t="shared" ref="F137" si="213">F136*$G$8</f>
        <v>0</v>
      </c>
      <c r="G137" s="386">
        <f t="shared" ref="G137" si="214">G136*$G$8</f>
        <v>0</v>
      </c>
      <c r="H137" s="386">
        <f t="shared" ref="H137" si="215">H136*$G$8</f>
        <v>0</v>
      </c>
      <c r="I137" s="386">
        <f t="shared" ref="I137" si="216">I136*$G$8</f>
        <v>0</v>
      </c>
      <c r="J137" s="386">
        <f t="shared" ref="J137" si="217">J136*$G$8</f>
        <v>0</v>
      </c>
      <c r="K137" s="386">
        <f t="shared" ref="K137" si="218">K136*$G$8</f>
        <v>0</v>
      </c>
      <c r="L137" s="386">
        <f t="shared" ref="L137" si="219">L136*$G$8</f>
        <v>0</v>
      </c>
      <c r="M137" s="386">
        <f t="shared" ref="M137" si="220">M136*$G$8</f>
        <v>0</v>
      </c>
      <c r="N137" s="386">
        <f t="shared" ref="N137" si="221">N136*$G$8</f>
        <v>0</v>
      </c>
      <c r="O137" s="386">
        <f t="shared" ref="O137" si="222">O136*$G$8</f>
        <v>0</v>
      </c>
      <c r="P137" s="367">
        <f t="shared" si="189"/>
        <v>0</v>
      </c>
    </row>
    <row r="138" spans="2:21" ht="14.65" customHeight="1" thickBot="1" x14ac:dyDescent="0.3">
      <c r="B138" s="105"/>
      <c r="C138" s="321" t="s">
        <v>69</v>
      </c>
      <c r="D138" s="379"/>
      <c r="E138" s="379"/>
      <c r="F138" s="379"/>
      <c r="G138" s="379"/>
      <c r="H138" s="379"/>
      <c r="I138" s="379"/>
      <c r="J138" s="379"/>
      <c r="K138" s="379"/>
      <c r="L138" s="379"/>
      <c r="M138" s="379"/>
      <c r="N138" s="379"/>
      <c r="O138" s="379"/>
      <c r="P138" s="366">
        <f>SUM(D138:O138)</f>
        <v>0</v>
      </c>
    </row>
    <row r="139" spans="2:21" ht="15.75" thickBot="1" x14ac:dyDescent="0.3">
      <c r="B139" s="77"/>
      <c r="C139" s="324" t="s">
        <v>70</v>
      </c>
      <c r="D139" s="381">
        <f>D134+D135+D131+D132+D137+D138+D128+D129</f>
        <v>0</v>
      </c>
      <c r="E139" s="381">
        <f t="shared" ref="E139:O139" si="223">E134+E135+E131+E132+E137+E138+E128+E129</f>
        <v>0</v>
      </c>
      <c r="F139" s="381">
        <f t="shared" si="223"/>
        <v>0</v>
      </c>
      <c r="G139" s="381">
        <f t="shared" si="223"/>
        <v>0</v>
      </c>
      <c r="H139" s="381">
        <f t="shared" si="223"/>
        <v>0</v>
      </c>
      <c r="I139" s="381">
        <f t="shared" si="223"/>
        <v>0</v>
      </c>
      <c r="J139" s="381">
        <f t="shared" si="223"/>
        <v>0</v>
      </c>
      <c r="K139" s="381">
        <f t="shared" si="223"/>
        <v>0</v>
      </c>
      <c r="L139" s="381">
        <f t="shared" si="223"/>
        <v>0</v>
      </c>
      <c r="M139" s="381">
        <f t="shared" si="223"/>
        <v>0</v>
      </c>
      <c r="N139" s="381">
        <f t="shared" si="223"/>
        <v>0</v>
      </c>
      <c r="O139" s="381">
        <f t="shared" si="223"/>
        <v>0</v>
      </c>
      <c r="P139" s="384">
        <f>SUM(D139:O139)</f>
        <v>0</v>
      </c>
    </row>
    <row r="140" spans="2:21" ht="15.75" x14ac:dyDescent="0.25">
      <c r="B140" s="105"/>
      <c r="C140" s="322" t="s">
        <v>71</v>
      </c>
      <c r="D140" s="370"/>
      <c r="E140" s="370"/>
      <c r="F140" s="370"/>
      <c r="G140" s="370"/>
      <c r="H140" s="370"/>
      <c r="I140" s="370"/>
      <c r="J140" s="370"/>
      <c r="K140" s="370"/>
      <c r="L140" s="370"/>
      <c r="M140" s="370"/>
      <c r="N140" s="370"/>
      <c r="O140" s="370"/>
      <c r="P140" s="383">
        <f t="shared" ref="P140:P147" si="224">SUM(D140:O140)</f>
        <v>0</v>
      </c>
      <c r="Q140" s="73"/>
    </row>
    <row r="141" spans="2:21" x14ac:dyDescent="0.25">
      <c r="B141" s="105"/>
      <c r="C141" s="92" t="s">
        <v>72</v>
      </c>
      <c r="D141" s="386">
        <f>D140*$G$9</f>
        <v>0</v>
      </c>
      <c r="E141" s="386">
        <f t="shared" ref="E141" si="225">E140*$G$9</f>
        <v>0</v>
      </c>
      <c r="F141" s="386">
        <f t="shared" ref="F141" si="226">F140*$G$9</f>
        <v>0</v>
      </c>
      <c r="G141" s="386">
        <f t="shared" ref="G141" si="227">G140*$G$9</f>
        <v>0</v>
      </c>
      <c r="H141" s="386">
        <f t="shared" ref="H141" si="228">H140*$G$9</f>
        <v>0</v>
      </c>
      <c r="I141" s="386">
        <f t="shared" ref="I141" si="229">I140*$G$9</f>
        <v>0</v>
      </c>
      <c r="J141" s="386">
        <f t="shared" ref="J141" si="230">J140*$G$9</f>
        <v>0</v>
      </c>
      <c r="K141" s="386">
        <f t="shared" ref="K141" si="231">K140*$G$9</f>
        <v>0</v>
      </c>
      <c r="L141" s="386">
        <f t="shared" ref="L141" si="232">L140*$G$9</f>
        <v>0</v>
      </c>
      <c r="M141" s="386">
        <f t="shared" ref="M141" si="233">M140*$G$9</f>
        <v>0</v>
      </c>
      <c r="N141" s="386">
        <f t="shared" ref="N141" si="234">N140*$G$9</f>
        <v>0</v>
      </c>
      <c r="O141" s="386">
        <f t="shared" ref="O141" si="235">O140*$G$9</f>
        <v>0</v>
      </c>
      <c r="P141" s="367">
        <f t="shared" si="224"/>
        <v>0</v>
      </c>
      <c r="Q141" s="73"/>
    </row>
    <row r="142" spans="2:21" ht="15.75" thickBot="1" x14ac:dyDescent="0.3">
      <c r="B142" s="105"/>
      <c r="C142" s="266" t="s">
        <v>73</v>
      </c>
      <c r="D142" s="379"/>
      <c r="E142" s="379"/>
      <c r="F142" s="379"/>
      <c r="G142" s="379"/>
      <c r="H142" s="379"/>
      <c r="I142" s="379"/>
      <c r="J142" s="379"/>
      <c r="K142" s="379"/>
      <c r="L142" s="379"/>
      <c r="M142" s="379"/>
      <c r="N142" s="379"/>
      <c r="O142" s="379"/>
      <c r="P142" s="366">
        <f>SUM(D142:O142)</f>
        <v>0</v>
      </c>
      <c r="Q142" s="73"/>
    </row>
    <row r="143" spans="2:21" ht="15.75" x14ac:dyDescent="0.25">
      <c r="B143" s="105"/>
      <c r="C143" s="322" t="s">
        <v>74</v>
      </c>
      <c r="D143" s="333"/>
      <c r="E143" s="333"/>
      <c r="F143" s="333"/>
      <c r="G143" s="333"/>
      <c r="H143" s="333"/>
      <c r="I143" s="333"/>
      <c r="J143" s="333"/>
      <c r="K143" s="333"/>
      <c r="L143" s="333"/>
      <c r="M143" s="333"/>
      <c r="N143" s="333"/>
      <c r="O143" s="333"/>
      <c r="P143" s="367">
        <f t="shared" si="224"/>
        <v>0</v>
      </c>
      <c r="Q143" s="73"/>
    </row>
    <row r="144" spans="2:21" ht="14.65" customHeight="1" x14ac:dyDescent="0.25">
      <c r="B144" s="77"/>
      <c r="C144" s="92" t="s">
        <v>75</v>
      </c>
      <c r="D144" s="386">
        <f>D143*$G$9</f>
        <v>0</v>
      </c>
      <c r="E144" s="386">
        <f t="shared" ref="E144" si="236">E143*$G$9</f>
        <v>0</v>
      </c>
      <c r="F144" s="386">
        <f t="shared" ref="F144" si="237">F143*$G$9</f>
        <v>0</v>
      </c>
      <c r="G144" s="386">
        <f t="shared" ref="G144" si="238">G143*$G$9</f>
        <v>0</v>
      </c>
      <c r="H144" s="386">
        <f t="shared" ref="H144" si="239">H143*$G$9</f>
        <v>0</v>
      </c>
      <c r="I144" s="386">
        <f t="shared" ref="I144" si="240">I143*$G$9</f>
        <v>0</v>
      </c>
      <c r="J144" s="386">
        <f t="shared" ref="J144" si="241">J143*$G$9</f>
        <v>0</v>
      </c>
      <c r="K144" s="386">
        <f t="shared" ref="K144" si="242">K143*$G$9</f>
        <v>0</v>
      </c>
      <c r="L144" s="386">
        <f t="shared" ref="L144" si="243">L143*$G$9</f>
        <v>0</v>
      </c>
      <c r="M144" s="386">
        <f t="shared" ref="M144" si="244">M143*$G$9</f>
        <v>0</v>
      </c>
      <c r="N144" s="386">
        <f t="shared" ref="N144" si="245">N143*$G$9</f>
        <v>0</v>
      </c>
      <c r="O144" s="386">
        <f t="shared" ref="O144" si="246">O143*$G$9</f>
        <v>0</v>
      </c>
      <c r="P144" s="383">
        <f t="shared" si="224"/>
        <v>0</v>
      </c>
    </row>
    <row r="145" spans="2:21" ht="14.65" customHeight="1" thickBot="1" x14ac:dyDescent="0.3">
      <c r="B145" s="105"/>
      <c r="C145" s="266" t="s">
        <v>76</v>
      </c>
      <c r="D145" s="379"/>
      <c r="E145" s="379"/>
      <c r="F145" s="379"/>
      <c r="G145" s="379"/>
      <c r="H145" s="379"/>
      <c r="I145" s="379"/>
      <c r="J145" s="379"/>
      <c r="K145" s="379"/>
      <c r="L145" s="379"/>
      <c r="M145" s="379"/>
      <c r="N145" s="379"/>
      <c r="O145" s="379"/>
      <c r="P145" s="366">
        <f>SUM(D145:O145)</f>
        <v>0</v>
      </c>
    </row>
    <row r="146" spans="2:21" ht="14.65" customHeight="1" thickBot="1" x14ac:dyDescent="0.3">
      <c r="B146" s="77"/>
      <c r="C146" s="325" t="s">
        <v>77</v>
      </c>
      <c r="D146" s="381">
        <f>D141+D142+D144+D145</f>
        <v>0</v>
      </c>
      <c r="E146" s="381">
        <f t="shared" ref="E146:O146" si="247">E141+E142+E144+E145</f>
        <v>0</v>
      </c>
      <c r="F146" s="381">
        <f t="shared" si="247"/>
        <v>0</v>
      </c>
      <c r="G146" s="381">
        <f t="shared" si="247"/>
        <v>0</v>
      </c>
      <c r="H146" s="381">
        <f t="shared" si="247"/>
        <v>0</v>
      </c>
      <c r="I146" s="381">
        <f t="shared" si="247"/>
        <v>0</v>
      </c>
      <c r="J146" s="381">
        <f t="shared" si="247"/>
        <v>0</v>
      </c>
      <c r="K146" s="381">
        <f t="shared" si="247"/>
        <v>0</v>
      </c>
      <c r="L146" s="381">
        <f t="shared" si="247"/>
        <v>0</v>
      </c>
      <c r="M146" s="381">
        <f t="shared" si="247"/>
        <v>0</v>
      </c>
      <c r="N146" s="381">
        <f t="shared" si="247"/>
        <v>0</v>
      </c>
      <c r="O146" s="381">
        <f t="shared" si="247"/>
        <v>0</v>
      </c>
      <c r="P146" s="384">
        <f t="shared" si="224"/>
        <v>0</v>
      </c>
    </row>
    <row r="147" spans="2:21" ht="15.75" thickBot="1" x14ac:dyDescent="0.3">
      <c r="B147" s="77"/>
      <c r="C147" s="324" t="s">
        <v>78</v>
      </c>
      <c r="D147" s="387">
        <f t="shared" ref="D147:O147" si="248">D139+D146</f>
        <v>0</v>
      </c>
      <c r="E147" s="387">
        <f t="shared" si="248"/>
        <v>0</v>
      </c>
      <c r="F147" s="387">
        <f t="shared" si="248"/>
        <v>0</v>
      </c>
      <c r="G147" s="387">
        <f t="shared" si="248"/>
        <v>0</v>
      </c>
      <c r="H147" s="387">
        <f t="shared" si="248"/>
        <v>0</v>
      </c>
      <c r="I147" s="387">
        <f t="shared" si="248"/>
        <v>0</v>
      </c>
      <c r="J147" s="387">
        <f t="shared" si="248"/>
        <v>0</v>
      </c>
      <c r="K147" s="387">
        <f t="shared" si="248"/>
        <v>0</v>
      </c>
      <c r="L147" s="387">
        <f t="shared" si="248"/>
        <v>0</v>
      </c>
      <c r="M147" s="387">
        <f t="shared" si="248"/>
        <v>0</v>
      </c>
      <c r="N147" s="387">
        <f t="shared" si="248"/>
        <v>0</v>
      </c>
      <c r="O147" s="387">
        <f t="shared" si="248"/>
        <v>0</v>
      </c>
      <c r="P147" s="384">
        <f t="shared" si="224"/>
        <v>0</v>
      </c>
    </row>
    <row r="148" spans="2:21" x14ac:dyDescent="0.25">
      <c r="B148" s="77"/>
      <c r="C148" s="326" t="s">
        <v>370</v>
      </c>
      <c r="D148" s="515"/>
      <c r="E148" s="515"/>
      <c r="F148" s="515"/>
      <c r="G148" s="515"/>
      <c r="H148" s="515"/>
      <c r="I148" s="515"/>
      <c r="J148" s="515"/>
      <c r="K148" s="515"/>
      <c r="L148" s="515"/>
      <c r="M148" s="515"/>
      <c r="N148" s="515"/>
      <c r="O148" s="515"/>
      <c r="P148" s="351" t="e">
        <f>P147/b_2026</f>
        <v>#DIV/0!</v>
      </c>
    </row>
    <row r="149" spans="2:21" ht="15.75" thickBot="1" x14ac:dyDescent="0.3">
      <c r="B149" s="91"/>
      <c r="C149" s="163" t="s">
        <v>79</v>
      </c>
      <c r="D149" s="382" t="e">
        <f t="shared" ref="D149:P149" si="249">D139/D147</f>
        <v>#DIV/0!</v>
      </c>
      <c r="E149" s="382" t="e">
        <f t="shared" si="249"/>
        <v>#DIV/0!</v>
      </c>
      <c r="F149" s="382" t="e">
        <f t="shared" si="249"/>
        <v>#DIV/0!</v>
      </c>
      <c r="G149" s="382" t="e">
        <f t="shared" si="249"/>
        <v>#DIV/0!</v>
      </c>
      <c r="H149" s="382" t="e">
        <f t="shared" si="249"/>
        <v>#DIV/0!</v>
      </c>
      <c r="I149" s="382" t="e">
        <f t="shared" si="249"/>
        <v>#DIV/0!</v>
      </c>
      <c r="J149" s="382" t="e">
        <f t="shared" si="249"/>
        <v>#DIV/0!</v>
      </c>
      <c r="K149" s="382" t="e">
        <f t="shared" si="249"/>
        <v>#DIV/0!</v>
      </c>
      <c r="L149" s="382" t="e">
        <f t="shared" si="249"/>
        <v>#DIV/0!</v>
      </c>
      <c r="M149" s="382" t="e">
        <f t="shared" si="249"/>
        <v>#DIV/0!</v>
      </c>
      <c r="N149" s="382" t="e">
        <f t="shared" si="249"/>
        <v>#DIV/0!</v>
      </c>
      <c r="O149" s="382" t="e">
        <f t="shared" si="249"/>
        <v>#DIV/0!</v>
      </c>
      <c r="P149" s="385" t="e">
        <f t="shared" si="249"/>
        <v>#DIV/0!</v>
      </c>
      <c r="Q149" s="97"/>
    </row>
    <row r="150" spans="2:21" ht="14.65" customHeight="1" x14ac:dyDescent="0.25">
      <c r="B150" s="58"/>
      <c r="D150"/>
      <c r="E150"/>
      <c r="F150"/>
      <c r="G150"/>
      <c r="H150"/>
      <c r="I150"/>
      <c r="J150"/>
      <c r="K150"/>
      <c r="L150"/>
      <c r="M150"/>
      <c r="N150"/>
      <c r="O150"/>
      <c r="P150"/>
    </row>
    <row r="151" spans="2:21" ht="14.65" customHeight="1" thickBot="1" x14ac:dyDescent="0.3">
      <c r="B151" s="58"/>
      <c r="D151"/>
      <c r="E151"/>
      <c r="F151"/>
      <c r="G151"/>
      <c r="H151"/>
      <c r="I151"/>
      <c r="J151"/>
      <c r="K151"/>
      <c r="L151"/>
      <c r="M151"/>
      <c r="N151"/>
      <c r="O151"/>
      <c r="P151"/>
    </row>
    <row r="152" spans="2:21" x14ac:dyDescent="0.25">
      <c r="B152" s="591" t="s">
        <v>9</v>
      </c>
      <c r="C152" s="615" t="s">
        <v>10</v>
      </c>
      <c r="D152" s="617" t="s">
        <v>11</v>
      </c>
      <c r="E152" s="588" t="s">
        <v>12</v>
      </c>
      <c r="F152" s="588" t="s">
        <v>13</v>
      </c>
      <c r="G152" s="588" t="s">
        <v>14</v>
      </c>
      <c r="H152" s="588" t="s">
        <v>15</v>
      </c>
      <c r="I152" s="588" t="s">
        <v>16</v>
      </c>
      <c r="J152" s="588" t="s">
        <v>17</v>
      </c>
      <c r="K152" s="588" t="s">
        <v>18</v>
      </c>
      <c r="L152" s="588" t="s">
        <v>19</v>
      </c>
      <c r="M152" s="588" t="s">
        <v>20</v>
      </c>
      <c r="N152" s="588" t="s">
        <v>21</v>
      </c>
      <c r="O152" s="618" t="s">
        <v>22</v>
      </c>
      <c r="P152" s="591" t="s">
        <v>23</v>
      </c>
    </row>
    <row r="153" spans="2:21" ht="15.75" thickBot="1" x14ac:dyDescent="0.3">
      <c r="B153" s="593"/>
      <c r="C153" s="616"/>
      <c r="D153" s="606"/>
      <c r="E153" s="590"/>
      <c r="F153" s="590"/>
      <c r="G153" s="590"/>
      <c r="H153" s="590"/>
      <c r="I153" s="590"/>
      <c r="J153" s="590"/>
      <c r="K153" s="590"/>
      <c r="L153" s="590"/>
      <c r="M153" s="590"/>
      <c r="N153" s="590"/>
      <c r="O153" s="619"/>
      <c r="P153" s="593"/>
    </row>
    <row r="154" spans="2:21" ht="14.65" customHeight="1" x14ac:dyDescent="0.25">
      <c r="B154" s="104">
        <f>ÜLDANDMED!H11</f>
        <v>2027</v>
      </c>
      <c r="C154" s="110" t="s">
        <v>58</v>
      </c>
      <c r="D154" s="333"/>
      <c r="E154" s="333"/>
      <c r="F154" s="333"/>
      <c r="G154" s="333"/>
      <c r="H154" s="333"/>
      <c r="I154" s="333"/>
      <c r="J154" s="333"/>
      <c r="K154" s="333"/>
      <c r="L154" s="333"/>
      <c r="M154" s="333"/>
      <c r="N154" s="333"/>
      <c r="O154" s="333"/>
      <c r="P154" s="367">
        <f>SUM(D154:O154)</f>
        <v>0</v>
      </c>
    </row>
    <row r="155" spans="2:21" s="2" customFormat="1" ht="14.65" customHeight="1" x14ac:dyDescent="0.2">
      <c r="B155" s="77"/>
      <c r="C155" s="46" t="s">
        <v>59</v>
      </c>
      <c r="D155" s="386">
        <f>D154*$G$5</f>
        <v>0</v>
      </c>
      <c r="E155" s="386">
        <f t="shared" ref="E155" si="250">E154*$G$5</f>
        <v>0</v>
      </c>
      <c r="F155" s="386">
        <f t="shared" ref="F155" si="251">F154*$G$5</f>
        <v>0</v>
      </c>
      <c r="G155" s="386">
        <f t="shared" ref="G155" si="252">G154*$G$5</f>
        <v>0</v>
      </c>
      <c r="H155" s="386">
        <f t="shared" ref="H155" si="253">H154*$G$5</f>
        <v>0</v>
      </c>
      <c r="I155" s="386">
        <f t="shared" ref="I155" si="254">I154*$G$5</f>
        <v>0</v>
      </c>
      <c r="J155" s="386">
        <f t="shared" ref="J155" si="255">J154*$G$5</f>
        <v>0</v>
      </c>
      <c r="K155" s="386">
        <f t="shared" ref="K155" si="256">K154*$G$5</f>
        <v>0</v>
      </c>
      <c r="L155" s="386">
        <f t="shared" ref="L155" si="257">L154*$G$5</f>
        <v>0</v>
      </c>
      <c r="M155" s="386">
        <f t="shared" ref="M155" si="258">M154*$G$5</f>
        <v>0</v>
      </c>
      <c r="N155" s="386">
        <f t="shared" ref="N155" si="259">N154*$G$5</f>
        <v>0</v>
      </c>
      <c r="O155" s="386">
        <f t="shared" ref="O155" si="260">O154*$G$5</f>
        <v>0</v>
      </c>
      <c r="P155" s="367">
        <f>SUM(D155:O155)</f>
        <v>0</v>
      </c>
    </row>
    <row r="156" spans="2:21" s="2" customFormat="1" ht="14.65" customHeight="1" thickBot="1" x14ac:dyDescent="0.3">
      <c r="B156" s="105"/>
      <c r="C156" s="321" t="s">
        <v>60</v>
      </c>
      <c r="D156" s="379"/>
      <c r="E156" s="379"/>
      <c r="F156" s="379"/>
      <c r="G156" s="379"/>
      <c r="H156" s="379"/>
      <c r="I156" s="379"/>
      <c r="J156" s="379"/>
      <c r="K156" s="379"/>
      <c r="L156" s="379"/>
      <c r="M156" s="379"/>
      <c r="N156" s="379"/>
      <c r="O156" s="379"/>
      <c r="P156" s="366">
        <f>SUM(D156:O156)</f>
        <v>0</v>
      </c>
      <c r="R156"/>
      <c r="S156"/>
      <c r="T156"/>
      <c r="U156"/>
    </row>
    <row r="157" spans="2:21" s="2" customFormat="1" ht="14.65" customHeight="1" x14ac:dyDescent="0.25">
      <c r="B157" s="105"/>
      <c r="C157" s="110" t="s">
        <v>61</v>
      </c>
      <c r="D157" s="333"/>
      <c r="E157" s="333"/>
      <c r="F157" s="333"/>
      <c r="G157" s="333"/>
      <c r="H157" s="333"/>
      <c r="I157" s="333"/>
      <c r="J157" s="333"/>
      <c r="K157" s="333"/>
      <c r="L157" s="333"/>
      <c r="M157" s="333"/>
      <c r="N157" s="333"/>
      <c r="O157" s="333"/>
      <c r="P157" s="367">
        <f t="shared" ref="P157:P164" si="261">SUM(D157:O157)</f>
        <v>0</v>
      </c>
      <c r="R157"/>
      <c r="S157"/>
      <c r="T157"/>
      <c r="U157"/>
    </row>
    <row r="158" spans="2:21" s="2" customFormat="1" ht="14.65" customHeight="1" x14ac:dyDescent="0.25">
      <c r="B158" s="87"/>
      <c r="C158" s="46" t="s">
        <v>62</v>
      </c>
      <c r="D158" s="386">
        <f>D157*$G$6</f>
        <v>0</v>
      </c>
      <c r="E158" s="386">
        <f t="shared" ref="E158" si="262">E157*$G$6</f>
        <v>0</v>
      </c>
      <c r="F158" s="386">
        <f t="shared" ref="F158" si="263">F157*$G$6</f>
        <v>0</v>
      </c>
      <c r="G158" s="386">
        <f t="shared" ref="G158" si="264">G157*$G$6</f>
        <v>0</v>
      </c>
      <c r="H158" s="386">
        <f t="shared" ref="H158" si="265">H157*$G$6</f>
        <v>0</v>
      </c>
      <c r="I158" s="386">
        <f t="shared" ref="I158" si="266">I157*$G$6</f>
        <v>0</v>
      </c>
      <c r="J158" s="386">
        <f t="shared" ref="J158" si="267">J157*$G$6</f>
        <v>0</v>
      </c>
      <c r="K158" s="386">
        <f t="shared" ref="K158" si="268">K157*$G$6</f>
        <v>0</v>
      </c>
      <c r="L158" s="386">
        <f t="shared" ref="L158" si="269">L157*$G$6</f>
        <v>0</v>
      </c>
      <c r="M158" s="386">
        <f t="shared" ref="M158" si="270">M157*$G$6</f>
        <v>0</v>
      </c>
      <c r="N158" s="386">
        <f t="shared" ref="N158" si="271">N157*$G$6</f>
        <v>0</v>
      </c>
      <c r="O158" s="386">
        <f t="shared" ref="O158" si="272">O157*$G$6</f>
        <v>0</v>
      </c>
      <c r="P158" s="367">
        <f t="shared" si="261"/>
        <v>0</v>
      </c>
      <c r="R158"/>
      <c r="S158"/>
      <c r="T158"/>
      <c r="U158"/>
    </row>
    <row r="159" spans="2:21" s="2" customFormat="1" ht="14.65" customHeight="1" thickBot="1" x14ac:dyDescent="0.3">
      <c r="B159" s="105"/>
      <c r="C159" s="321" t="s">
        <v>63</v>
      </c>
      <c r="D159" s="379"/>
      <c r="E159" s="379"/>
      <c r="F159" s="379"/>
      <c r="G159" s="379"/>
      <c r="H159" s="379"/>
      <c r="I159" s="379"/>
      <c r="J159" s="379"/>
      <c r="K159" s="379"/>
      <c r="L159" s="379"/>
      <c r="M159" s="379"/>
      <c r="N159" s="379"/>
      <c r="O159" s="379"/>
      <c r="P159" s="366">
        <f>SUM(D159:O159)</f>
        <v>0</v>
      </c>
      <c r="R159"/>
      <c r="S159"/>
      <c r="T159"/>
      <c r="U159"/>
    </row>
    <row r="160" spans="2:21" ht="14.65" customHeight="1" x14ac:dyDescent="0.25">
      <c r="B160" s="86"/>
      <c r="C160" s="110" t="s">
        <v>64</v>
      </c>
      <c r="D160" s="333"/>
      <c r="E160" s="333"/>
      <c r="F160" s="333"/>
      <c r="G160" s="333"/>
      <c r="H160" s="333"/>
      <c r="I160" s="333"/>
      <c r="J160" s="333"/>
      <c r="K160" s="333"/>
      <c r="L160" s="333"/>
      <c r="M160" s="333"/>
      <c r="N160" s="333"/>
      <c r="O160" s="333"/>
      <c r="P160" s="367">
        <f t="shared" si="261"/>
        <v>0</v>
      </c>
    </row>
    <row r="161" spans="2:17" ht="14.65" customHeight="1" x14ac:dyDescent="0.25">
      <c r="B161" s="77"/>
      <c r="C161" s="46" t="s">
        <v>65</v>
      </c>
      <c r="D161" s="386">
        <f>D160*$G$7</f>
        <v>0</v>
      </c>
      <c r="E161" s="386">
        <f t="shared" ref="E161" si="273">E160*$G$7</f>
        <v>0</v>
      </c>
      <c r="F161" s="386">
        <f t="shared" ref="F161" si="274">F160*$G$7</f>
        <v>0</v>
      </c>
      <c r="G161" s="386">
        <f t="shared" ref="G161" si="275">G160*$G$7</f>
        <v>0</v>
      </c>
      <c r="H161" s="386">
        <f t="shared" ref="H161" si="276">H160*$G$7</f>
        <v>0</v>
      </c>
      <c r="I161" s="386">
        <f t="shared" ref="I161" si="277">I160*$G$7</f>
        <v>0</v>
      </c>
      <c r="J161" s="386">
        <f t="shared" ref="J161" si="278">J160*$G$7</f>
        <v>0</v>
      </c>
      <c r="K161" s="386">
        <f t="shared" ref="K161" si="279">K160*$G$7</f>
        <v>0</v>
      </c>
      <c r="L161" s="386">
        <f t="shared" ref="L161" si="280">L160*$G$7</f>
        <v>0</v>
      </c>
      <c r="M161" s="386">
        <f t="shared" ref="M161" si="281">M160*$G$7</f>
        <v>0</v>
      </c>
      <c r="N161" s="386">
        <f t="shared" ref="N161" si="282">N160*$G$7</f>
        <v>0</v>
      </c>
      <c r="O161" s="386">
        <f t="shared" ref="O161" si="283">O160*$G$7</f>
        <v>0</v>
      </c>
      <c r="P161" s="367">
        <f t="shared" si="261"/>
        <v>0</v>
      </c>
    </row>
    <row r="162" spans="2:17" ht="14.65" customHeight="1" thickBot="1" x14ac:dyDescent="0.3">
      <c r="B162" s="105"/>
      <c r="C162" s="321" t="s">
        <v>66</v>
      </c>
      <c r="D162" s="379"/>
      <c r="E162" s="379"/>
      <c r="F162" s="379"/>
      <c r="G162" s="379"/>
      <c r="H162" s="379"/>
      <c r="I162" s="379"/>
      <c r="J162" s="379"/>
      <c r="K162" s="379"/>
      <c r="L162" s="379"/>
      <c r="M162" s="379"/>
      <c r="N162" s="379"/>
      <c r="O162" s="379"/>
      <c r="P162" s="366">
        <f>SUM(D162:O162)</f>
        <v>0</v>
      </c>
    </row>
    <row r="163" spans="2:17" ht="14.65" customHeight="1" x14ac:dyDescent="0.25">
      <c r="B163" s="77"/>
      <c r="C163" s="110" t="s">
        <v>67</v>
      </c>
      <c r="D163" s="333"/>
      <c r="E163" s="333"/>
      <c r="F163" s="333"/>
      <c r="G163" s="333"/>
      <c r="H163" s="333"/>
      <c r="I163" s="333"/>
      <c r="J163" s="333"/>
      <c r="K163" s="333"/>
      <c r="L163" s="333"/>
      <c r="M163" s="333"/>
      <c r="N163" s="333"/>
      <c r="O163" s="333"/>
      <c r="P163" s="367">
        <f t="shared" si="261"/>
        <v>0</v>
      </c>
    </row>
    <row r="164" spans="2:17" ht="14.65" customHeight="1" x14ac:dyDescent="0.25">
      <c r="B164" s="77"/>
      <c r="C164" s="46" t="s">
        <v>68</v>
      </c>
      <c r="D164" s="386">
        <f>D163*$G$8</f>
        <v>0</v>
      </c>
      <c r="E164" s="386">
        <f t="shared" ref="E164" si="284">E163*$G$8</f>
        <v>0</v>
      </c>
      <c r="F164" s="386">
        <f t="shared" ref="F164" si="285">F163*$G$8</f>
        <v>0</v>
      </c>
      <c r="G164" s="386">
        <f t="shared" ref="G164" si="286">G163*$G$8</f>
        <v>0</v>
      </c>
      <c r="H164" s="386">
        <f t="shared" ref="H164" si="287">H163*$G$8</f>
        <v>0</v>
      </c>
      <c r="I164" s="386">
        <f t="shared" ref="I164" si="288">I163*$G$8</f>
        <v>0</v>
      </c>
      <c r="J164" s="386">
        <f t="shared" ref="J164" si="289">J163*$G$8</f>
        <v>0</v>
      </c>
      <c r="K164" s="386">
        <f t="shared" ref="K164" si="290">K163*$G$8</f>
        <v>0</v>
      </c>
      <c r="L164" s="386">
        <f t="shared" ref="L164" si="291">L163*$G$8</f>
        <v>0</v>
      </c>
      <c r="M164" s="386">
        <f t="shared" ref="M164" si="292">M163*$G$8</f>
        <v>0</v>
      </c>
      <c r="N164" s="386">
        <f t="shared" ref="N164" si="293">N163*$G$8</f>
        <v>0</v>
      </c>
      <c r="O164" s="386">
        <f t="shared" ref="O164" si="294">O163*$G$8</f>
        <v>0</v>
      </c>
      <c r="P164" s="367">
        <f t="shared" si="261"/>
        <v>0</v>
      </c>
    </row>
    <row r="165" spans="2:17" ht="14.65" customHeight="1" thickBot="1" x14ac:dyDescent="0.3">
      <c r="B165" s="105"/>
      <c r="C165" s="321" t="s">
        <v>69</v>
      </c>
      <c r="D165" s="379"/>
      <c r="E165" s="379"/>
      <c r="F165" s="379"/>
      <c r="G165" s="379"/>
      <c r="H165" s="379"/>
      <c r="I165" s="379"/>
      <c r="J165" s="379"/>
      <c r="K165" s="379"/>
      <c r="L165" s="379"/>
      <c r="M165" s="379"/>
      <c r="N165" s="379"/>
      <c r="O165" s="379"/>
      <c r="P165" s="366">
        <f>SUM(D165:O165)</f>
        <v>0</v>
      </c>
    </row>
    <row r="166" spans="2:17" ht="15.75" thickBot="1" x14ac:dyDescent="0.3">
      <c r="B166" s="77"/>
      <c r="C166" s="324" t="s">
        <v>70</v>
      </c>
      <c r="D166" s="381">
        <f>D161+D162+D158+D159+D164+D165+D155+D156</f>
        <v>0</v>
      </c>
      <c r="E166" s="381">
        <f t="shared" ref="E166:O166" si="295">E161+E162+E158+E159+E164+E165+E155+E156</f>
        <v>0</v>
      </c>
      <c r="F166" s="381">
        <f t="shared" si="295"/>
        <v>0</v>
      </c>
      <c r="G166" s="381">
        <f t="shared" si="295"/>
        <v>0</v>
      </c>
      <c r="H166" s="381">
        <f t="shared" si="295"/>
        <v>0</v>
      </c>
      <c r="I166" s="381">
        <f t="shared" si="295"/>
        <v>0</v>
      </c>
      <c r="J166" s="381">
        <f t="shared" si="295"/>
        <v>0</v>
      </c>
      <c r="K166" s="381">
        <f t="shared" si="295"/>
        <v>0</v>
      </c>
      <c r="L166" s="381">
        <f t="shared" si="295"/>
        <v>0</v>
      </c>
      <c r="M166" s="381">
        <f t="shared" si="295"/>
        <v>0</v>
      </c>
      <c r="N166" s="381">
        <f t="shared" si="295"/>
        <v>0</v>
      </c>
      <c r="O166" s="381">
        <f t="shared" si="295"/>
        <v>0</v>
      </c>
      <c r="P166" s="384">
        <f>SUM(D166:O166)</f>
        <v>0</v>
      </c>
    </row>
    <row r="167" spans="2:17" ht="15.75" x14ac:dyDescent="0.25">
      <c r="B167" s="105"/>
      <c r="C167" s="322" t="s">
        <v>71</v>
      </c>
      <c r="D167" s="370"/>
      <c r="E167" s="370"/>
      <c r="F167" s="370"/>
      <c r="G167" s="370"/>
      <c r="H167" s="370"/>
      <c r="I167" s="370"/>
      <c r="J167" s="370"/>
      <c r="K167" s="370"/>
      <c r="L167" s="370"/>
      <c r="M167" s="370"/>
      <c r="N167" s="370"/>
      <c r="O167" s="370"/>
      <c r="P167" s="383">
        <f t="shared" ref="P167:P174" si="296">SUM(D167:O167)</f>
        <v>0</v>
      </c>
      <c r="Q167" s="73"/>
    </row>
    <row r="168" spans="2:17" x14ac:dyDescent="0.25">
      <c r="B168" s="105"/>
      <c r="C168" s="92" t="s">
        <v>72</v>
      </c>
      <c r="D168" s="386">
        <f>D167*$G$9</f>
        <v>0</v>
      </c>
      <c r="E168" s="386">
        <f t="shared" ref="E168" si="297">E167*$G$9</f>
        <v>0</v>
      </c>
      <c r="F168" s="386">
        <f t="shared" ref="F168" si="298">F167*$G$9</f>
        <v>0</v>
      </c>
      <c r="G168" s="386">
        <f t="shared" ref="G168" si="299">G167*$G$9</f>
        <v>0</v>
      </c>
      <c r="H168" s="386">
        <f t="shared" ref="H168" si="300">H167*$G$9</f>
        <v>0</v>
      </c>
      <c r="I168" s="386">
        <f t="shared" ref="I168" si="301">I167*$G$9</f>
        <v>0</v>
      </c>
      <c r="J168" s="386">
        <f t="shared" ref="J168" si="302">J167*$G$9</f>
        <v>0</v>
      </c>
      <c r="K168" s="386">
        <f t="shared" ref="K168" si="303">K167*$G$9</f>
        <v>0</v>
      </c>
      <c r="L168" s="386">
        <f t="shared" ref="L168" si="304">L167*$G$9</f>
        <v>0</v>
      </c>
      <c r="M168" s="386">
        <f t="shared" ref="M168" si="305">M167*$G$9</f>
        <v>0</v>
      </c>
      <c r="N168" s="386">
        <f t="shared" ref="N168" si="306">N167*$G$9</f>
        <v>0</v>
      </c>
      <c r="O168" s="386">
        <f t="shared" ref="O168" si="307">O167*$G$9</f>
        <v>0</v>
      </c>
      <c r="P168" s="367">
        <f t="shared" si="296"/>
        <v>0</v>
      </c>
      <c r="Q168" s="73"/>
    </row>
    <row r="169" spans="2:17" ht="15.75" thickBot="1" x14ac:dyDescent="0.3">
      <c r="B169" s="105"/>
      <c r="C169" s="266" t="s">
        <v>73</v>
      </c>
      <c r="D169" s="379"/>
      <c r="E169" s="379"/>
      <c r="F169" s="379"/>
      <c r="G169" s="379"/>
      <c r="H169" s="379"/>
      <c r="I169" s="379"/>
      <c r="J169" s="379"/>
      <c r="K169" s="379"/>
      <c r="L169" s="379"/>
      <c r="M169" s="379"/>
      <c r="N169" s="379"/>
      <c r="O169" s="379"/>
      <c r="P169" s="366">
        <f>SUM(D169:O169)</f>
        <v>0</v>
      </c>
      <c r="Q169" s="73"/>
    </row>
    <row r="170" spans="2:17" ht="15.75" x14ac:dyDescent="0.25">
      <c r="B170" s="105"/>
      <c r="C170" s="322" t="s">
        <v>74</v>
      </c>
      <c r="D170" s="333"/>
      <c r="E170" s="333"/>
      <c r="F170" s="333"/>
      <c r="G170" s="333"/>
      <c r="H170" s="333"/>
      <c r="I170" s="333"/>
      <c r="J170" s="333"/>
      <c r="K170" s="333"/>
      <c r="L170" s="333"/>
      <c r="M170" s="333"/>
      <c r="N170" s="333"/>
      <c r="O170" s="333"/>
      <c r="P170" s="367">
        <f t="shared" si="296"/>
        <v>0</v>
      </c>
      <c r="Q170" s="73"/>
    </row>
    <row r="171" spans="2:17" ht="14.65" customHeight="1" x14ac:dyDescent="0.25">
      <c r="B171" s="77"/>
      <c r="C171" s="92" t="s">
        <v>75</v>
      </c>
      <c r="D171" s="386">
        <f>D170*$G$9</f>
        <v>0</v>
      </c>
      <c r="E171" s="386">
        <f t="shared" ref="E171" si="308">E170*$G$9</f>
        <v>0</v>
      </c>
      <c r="F171" s="386">
        <f t="shared" ref="F171" si="309">F170*$G$9</f>
        <v>0</v>
      </c>
      <c r="G171" s="386">
        <f t="shared" ref="G171" si="310">G170*$G$9</f>
        <v>0</v>
      </c>
      <c r="H171" s="386">
        <f t="shared" ref="H171" si="311">H170*$G$9</f>
        <v>0</v>
      </c>
      <c r="I171" s="386">
        <f t="shared" ref="I171" si="312">I170*$G$9</f>
        <v>0</v>
      </c>
      <c r="J171" s="386">
        <f t="shared" ref="J171" si="313">J170*$G$9</f>
        <v>0</v>
      </c>
      <c r="K171" s="386">
        <f t="shared" ref="K171" si="314">K170*$G$9</f>
        <v>0</v>
      </c>
      <c r="L171" s="386">
        <f t="shared" ref="L171" si="315">L170*$G$9</f>
        <v>0</v>
      </c>
      <c r="M171" s="386">
        <f t="shared" ref="M171" si="316">M170*$G$9</f>
        <v>0</v>
      </c>
      <c r="N171" s="386">
        <f t="shared" ref="N171" si="317">N170*$G$9</f>
        <v>0</v>
      </c>
      <c r="O171" s="386">
        <f t="shared" ref="O171" si="318">O170*$G$9</f>
        <v>0</v>
      </c>
      <c r="P171" s="383">
        <f t="shared" si="296"/>
        <v>0</v>
      </c>
    </row>
    <row r="172" spans="2:17" ht="14.65" customHeight="1" thickBot="1" x14ac:dyDescent="0.3">
      <c r="B172" s="105"/>
      <c r="C172" s="266" t="s">
        <v>76</v>
      </c>
      <c r="D172" s="379"/>
      <c r="E172" s="379"/>
      <c r="F172" s="379"/>
      <c r="G172" s="379"/>
      <c r="H172" s="379"/>
      <c r="I172" s="379"/>
      <c r="J172" s="379"/>
      <c r="K172" s="379"/>
      <c r="L172" s="379"/>
      <c r="M172" s="379"/>
      <c r="N172" s="379"/>
      <c r="O172" s="379"/>
      <c r="P172" s="366">
        <f>SUM(D172:O172)</f>
        <v>0</v>
      </c>
    </row>
    <row r="173" spans="2:17" ht="14.65" customHeight="1" thickBot="1" x14ac:dyDescent="0.3">
      <c r="B173" s="77"/>
      <c r="C173" s="325" t="s">
        <v>77</v>
      </c>
      <c r="D173" s="381">
        <f>D168+D169+D171+D172</f>
        <v>0</v>
      </c>
      <c r="E173" s="381">
        <f t="shared" ref="E173:O173" si="319">E168+E169+E171+E172</f>
        <v>0</v>
      </c>
      <c r="F173" s="381">
        <f t="shared" si="319"/>
        <v>0</v>
      </c>
      <c r="G173" s="381">
        <f t="shared" si="319"/>
        <v>0</v>
      </c>
      <c r="H173" s="381">
        <f t="shared" si="319"/>
        <v>0</v>
      </c>
      <c r="I173" s="381">
        <f t="shared" si="319"/>
        <v>0</v>
      </c>
      <c r="J173" s="381">
        <f t="shared" si="319"/>
        <v>0</v>
      </c>
      <c r="K173" s="381">
        <f t="shared" si="319"/>
        <v>0</v>
      </c>
      <c r="L173" s="381">
        <f t="shared" si="319"/>
        <v>0</v>
      </c>
      <c r="M173" s="381">
        <f t="shared" si="319"/>
        <v>0</v>
      </c>
      <c r="N173" s="381">
        <f t="shared" si="319"/>
        <v>0</v>
      </c>
      <c r="O173" s="381">
        <f t="shared" si="319"/>
        <v>0</v>
      </c>
      <c r="P173" s="384">
        <f t="shared" si="296"/>
        <v>0</v>
      </c>
    </row>
    <row r="174" spans="2:17" ht="15.75" thickBot="1" x14ac:dyDescent="0.3">
      <c r="B174" s="77"/>
      <c r="C174" s="324" t="s">
        <v>78</v>
      </c>
      <c r="D174" s="387">
        <f t="shared" ref="D174:O174" si="320">D166+D173</f>
        <v>0</v>
      </c>
      <c r="E174" s="387">
        <f t="shared" si="320"/>
        <v>0</v>
      </c>
      <c r="F174" s="387">
        <f t="shared" si="320"/>
        <v>0</v>
      </c>
      <c r="G174" s="387">
        <f t="shared" si="320"/>
        <v>0</v>
      </c>
      <c r="H174" s="387">
        <f t="shared" si="320"/>
        <v>0</v>
      </c>
      <c r="I174" s="387">
        <f t="shared" si="320"/>
        <v>0</v>
      </c>
      <c r="J174" s="387">
        <f t="shared" si="320"/>
        <v>0</v>
      </c>
      <c r="K174" s="387">
        <f t="shared" si="320"/>
        <v>0</v>
      </c>
      <c r="L174" s="387">
        <f t="shared" si="320"/>
        <v>0</v>
      </c>
      <c r="M174" s="387">
        <f t="shared" si="320"/>
        <v>0</v>
      </c>
      <c r="N174" s="387">
        <f t="shared" si="320"/>
        <v>0</v>
      </c>
      <c r="O174" s="387">
        <f t="shared" si="320"/>
        <v>0</v>
      </c>
      <c r="P174" s="384">
        <f t="shared" si="296"/>
        <v>0</v>
      </c>
    </row>
    <row r="175" spans="2:17" x14ac:dyDescent="0.25">
      <c r="B175" s="77"/>
      <c r="C175" s="326" t="s">
        <v>370</v>
      </c>
      <c r="D175" s="515"/>
      <c r="E175" s="515"/>
      <c r="F175" s="515"/>
      <c r="G175" s="515"/>
      <c r="H175" s="515"/>
      <c r="I175" s="515"/>
      <c r="J175" s="515"/>
      <c r="K175" s="515"/>
      <c r="L175" s="515"/>
      <c r="M175" s="515"/>
      <c r="N175" s="515"/>
      <c r="O175" s="515"/>
      <c r="P175" s="351" t="e">
        <f>P174/b_2027</f>
        <v>#DIV/0!</v>
      </c>
    </row>
    <row r="176" spans="2:17" ht="15.75" thickBot="1" x14ac:dyDescent="0.3">
      <c r="B176" s="91"/>
      <c r="C176" s="163" t="s">
        <v>79</v>
      </c>
      <c r="D176" s="382" t="e">
        <f t="shared" ref="D176:P176" si="321">D166/D174</f>
        <v>#DIV/0!</v>
      </c>
      <c r="E176" s="382" t="e">
        <f t="shared" si="321"/>
        <v>#DIV/0!</v>
      </c>
      <c r="F176" s="382" t="e">
        <f t="shared" si="321"/>
        <v>#DIV/0!</v>
      </c>
      <c r="G176" s="382" t="e">
        <f t="shared" si="321"/>
        <v>#DIV/0!</v>
      </c>
      <c r="H176" s="382" t="e">
        <f t="shared" si="321"/>
        <v>#DIV/0!</v>
      </c>
      <c r="I176" s="382" t="e">
        <f t="shared" si="321"/>
        <v>#DIV/0!</v>
      </c>
      <c r="J176" s="382" t="e">
        <f t="shared" si="321"/>
        <v>#DIV/0!</v>
      </c>
      <c r="K176" s="382" t="e">
        <f t="shared" si="321"/>
        <v>#DIV/0!</v>
      </c>
      <c r="L176" s="382" t="e">
        <f t="shared" si="321"/>
        <v>#DIV/0!</v>
      </c>
      <c r="M176" s="382" t="e">
        <f t="shared" si="321"/>
        <v>#DIV/0!</v>
      </c>
      <c r="N176" s="382" t="e">
        <f t="shared" si="321"/>
        <v>#DIV/0!</v>
      </c>
      <c r="O176" s="382" t="e">
        <f t="shared" si="321"/>
        <v>#DIV/0!</v>
      </c>
      <c r="P176" s="385" t="e">
        <f t="shared" si="321"/>
        <v>#DIV/0!</v>
      </c>
      <c r="Q176" s="97"/>
    </row>
    <row r="177" spans="2:21" ht="14.65" customHeight="1" x14ac:dyDescent="0.25">
      <c r="B177" s="58"/>
      <c r="D177"/>
      <c r="E177"/>
      <c r="F177"/>
      <c r="G177"/>
      <c r="H177"/>
      <c r="I177"/>
      <c r="J177"/>
      <c r="K177"/>
      <c r="L177"/>
      <c r="M177"/>
      <c r="N177"/>
      <c r="O177"/>
      <c r="P177"/>
    </row>
    <row r="178" spans="2:21" ht="14.65" customHeight="1" thickBot="1" x14ac:dyDescent="0.3">
      <c r="B178" s="58"/>
      <c r="D178"/>
      <c r="E178"/>
      <c r="F178"/>
      <c r="G178"/>
      <c r="H178"/>
      <c r="I178"/>
      <c r="J178"/>
      <c r="K178"/>
      <c r="L178"/>
      <c r="M178"/>
      <c r="N178"/>
      <c r="O178"/>
      <c r="P178"/>
    </row>
    <row r="179" spans="2:21" x14ac:dyDescent="0.25">
      <c r="B179" s="591" t="s">
        <v>9</v>
      </c>
      <c r="C179" s="615" t="s">
        <v>10</v>
      </c>
      <c r="D179" s="617" t="s">
        <v>11</v>
      </c>
      <c r="E179" s="588" t="s">
        <v>12</v>
      </c>
      <c r="F179" s="588" t="s">
        <v>13</v>
      </c>
      <c r="G179" s="588" t="s">
        <v>14</v>
      </c>
      <c r="H179" s="588" t="s">
        <v>15</v>
      </c>
      <c r="I179" s="588" t="s">
        <v>16</v>
      </c>
      <c r="J179" s="588" t="s">
        <v>17</v>
      </c>
      <c r="K179" s="588" t="s">
        <v>18</v>
      </c>
      <c r="L179" s="588" t="s">
        <v>19</v>
      </c>
      <c r="M179" s="588" t="s">
        <v>20</v>
      </c>
      <c r="N179" s="588" t="s">
        <v>21</v>
      </c>
      <c r="O179" s="618" t="s">
        <v>22</v>
      </c>
      <c r="P179" s="591" t="s">
        <v>23</v>
      </c>
    </row>
    <row r="180" spans="2:21" ht="15.75" thickBot="1" x14ac:dyDescent="0.3">
      <c r="B180" s="593"/>
      <c r="C180" s="616"/>
      <c r="D180" s="606"/>
      <c r="E180" s="590"/>
      <c r="F180" s="590"/>
      <c r="G180" s="590"/>
      <c r="H180" s="590"/>
      <c r="I180" s="590"/>
      <c r="J180" s="590"/>
      <c r="K180" s="590"/>
      <c r="L180" s="590"/>
      <c r="M180" s="590"/>
      <c r="N180" s="590"/>
      <c r="O180" s="619"/>
      <c r="P180" s="593"/>
    </row>
    <row r="181" spans="2:21" ht="14.65" customHeight="1" x14ac:dyDescent="0.25">
      <c r="B181" s="104">
        <f>ÜLDANDMED!I11</f>
        <v>2028</v>
      </c>
      <c r="C181" s="110" t="s">
        <v>58</v>
      </c>
      <c r="D181" s="333"/>
      <c r="E181" s="333"/>
      <c r="F181" s="333"/>
      <c r="G181" s="333"/>
      <c r="H181" s="333"/>
      <c r="I181" s="333"/>
      <c r="J181" s="333"/>
      <c r="K181" s="333"/>
      <c r="L181" s="333"/>
      <c r="M181" s="333"/>
      <c r="N181" s="333"/>
      <c r="O181" s="333"/>
      <c r="P181" s="367">
        <f>SUM(D181:O181)</f>
        <v>0</v>
      </c>
    </row>
    <row r="182" spans="2:21" s="2" customFormat="1" ht="14.65" customHeight="1" x14ac:dyDescent="0.2">
      <c r="B182" s="77"/>
      <c r="C182" s="46" t="s">
        <v>59</v>
      </c>
      <c r="D182" s="386">
        <f>D181*$G$5</f>
        <v>0</v>
      </c>
      <c r="E182" s="386">
        <f t="shared" ref="E182" si="322">E181*$G$5</f>
        <v>0</v>
      </c>
      <c r="F182" s="386">
        <f t="shared" ref="F182" si="323">F181*$G$5</f>
        <v>0</v>
      </c>
      <c r="G182" s="386">
        <f t="shared" ref="G182" si="324">G181*$G$5</f>
        <v>0</v>
      </c>
      <c r="H182" s="386">
        <f t="shared" ref="H182" si="325">H181*$G$5</f>
        <v>0</v>
      </c>
      <c r="I182" s="386">
        <f t="shared" ref="I182" si="326">I181*$G$5</f>
        <v>0</v>
      </c>
      <c r="J182" s="386">
        <f t="shared" ref="J182" si="327">J181*$G$5</f>
        <v>0</v>
      </c>
      <c r="K182" s="386">
        <f t="shared" ref="K182" si="328">K181*$G$5</f>
        <v>0</v>
      </c>
      <c r="L182" s="386">
        <f t="shared" ref="L182" si="329">L181*$G$5</f>
        <v>0</v>
      </c>
      <c r="M182" s="386">
        <f t="shared" ref="M182" si="330">M181*$G$5</f>
        <v>0</v>
      </c>
      <c r="N182" s="386">
        <f t="shared" ref="N182" si="331">N181*$G$5</f>
        <v>0</v>
      </c>
      <c r="O182" s="386">
        <f t="shared" ref="O182" si="332">O181*$G$5</f>
        <v>0</v>
      </c>
      <c r="P182" s="367">
        <f>SUM(D182:O182)</f>
        <v>0</v>
      </c>
    </row>
    <row r="183" spans="2:21" s="2" customFormat="1" ht="14.65" customHeight="1" thickBot="1" x14ac:dyDescent="0.3">
      <c r="B183" s="105"/>
      <c r="C183" s="321" t="s">
        <v>60</v>
      </c>
      <c r="D183" s="379"/>
      <c r="E183" s="379"/>
      <c r="F183" s="379"/>
      <c r="G183" s="379"/>
      <c r="H183" s="379"/>
      <c r="I183" s="379"/>
      <c r="J183" s="379"/>
      <c r="K183" s="379"/>
      <c r="L183" s="379"/>
      <c r="M183" s="379"/>
      <c r="N183" s="379"/>
      <c r="O183" s="379"/>
      <c r="P183" s="366">
        <f>SUM(D183:O183)</f>
        <v>0</v>
      </c>
      <c r="R183"/>
      <c r="S183"/>
      <c r="T183"/>
      <c r="U183"/>
    </row>
    <row r="184" spans="2:21" s="2" customFormat="1" ht="14.65" customHeight="1" x14ac:dyDescent="0.25">
      <c r="B184" s="105"/>
      <c r="C184" s="110" t="s">
        <v>61</v>
      </c>
      <c r="D184" s="333"/>
      <c r="E184" s="333"/>
      <c r="F184" s="333"/>
      <c r="G184" s="333"/>
      <c r="H184" s="333"/>
      <c r="I184" s="333"/>
      <c r="J184" s="333"/>
      <c r="K184" s="333"/>
      <c r="L184" s="333"/>
      <c r="M184" s="333"/>
      <c r="N184" s="333"/>
      <c r="O184" s="333"/>
      <c r="P184" s="367">
        <f t="shared" ref="P184:P191" si="333">SUM(D184:O184)</f>
        <v>0</v>
      </c>
      <c r="R184"/>
      <c r="S184"/>
      <c r="T184"/>
      <c r="U184"/>
    </row>
    <row r="185" spans="2:21" s="2" customFormat="1" ht="14.65" customHeight="1" x14ac:dyDescent="0.25">
      <c r="B185" s="87"/>
      <c r="C185" s="46" t="s">
        <v>62</v>
      </c>
      <c r="D185" s="386">
        <f>D184*$G$6</f>
        <v>0</v>
      </c>
      <c r="E185" s="386">
        <f t="shared" ref="E185" si="334">E184*$G$6</f>
        <v>0</v>
      </c>
      <c r="F185" s="386">
        <f t="shared" ref="F185" si="335">F184*$G$6</f>
        <v>0</v>
      </c>
      <c r="G185" s="386">
        <f t="shared" ref="G185" si="336">G184*$G$6</f>
        <v>0</v>
      </c>
      <c r="H185" s="386">
        <f t="shared" ref="H185" si="337">H184*$G$6</f>
        <v>0</v>
      </c>
      <c r="I185" s="386">
        <f t="shared" ref="I185" si="338">I184*$G$6</f>
        <v>0</v>
      </c>
      <c r="J185" s="386">
        <f t="shared" ref="J185" si="339">J184*$G$6</f>
        <v>0</v>
      </c>
      <c r="K185" s="386">
        <f t="shared" ref="K185" si="340">K184*$G$6</f>
        <v>0</v>
      </c>
      <c r="L185" s="386">
        <f t="shared" ref="L185" si="341">L184*$G$6</f>
        <v>0</v>
      </c>
      <c r="M185" s="386">
        <f t="shared" ref="M185" si="342">M184*$G$6</f>
        <v>0</v>
      </c>
      <c r="N185" s="386">
        <f t="shared" ref="N185" si="343">N184*$G$6</f>
        <v>0</v>
      </c>
      <c r="O185" s="386">
        <f t="shared" ref="O185" si="344">O184*$G$6</f>
        <v>0</v>
      </c>
      <c r="P185" s="367">
        <f t="shared" si="333"/>
        <v>0</v>
      </c>
      <c r="R185"/>
      <c r="S185"/>
      <c r="T185"/>
      <c r="U185"/>
    </row>
    <row r="186" spans="2:21" s="2" customFormat="1" ht="14.65" customHeight="1" thickBot="1" x14ac:dyDescent="0.3">
      <c r="B186" s="105"/>
      <c r="C186" s="321" t="s">
        <v>63</v>
      </c>
      <c r="D186" s="379"/>
      <c r="E186" s="379"/>
      <c r="F186" s="379"/>
      <c r="G186" s="379"/>
      <c r="H186" s="379"/>
      <c r="I186" s="379"/>
      <c r="J186" s="379"/>
      <c r="K186" s="379"/>
      <c r="L186" s="379"/>
      <c r="M186" s="379"/>
      <c r="N186" s="379"/>
      <c r="O186" s="379"/>
      <c r="P186" s="366">
        <f>SUM(D186:O186)</f>
        <v>0</v>
      </c>
      <c r="R186"/>
      <c r="S186"/>
      <c r="T186"/>
      <c r="U186"/>
    </row>
    <row r="187" spans="2:21" ht="14.65" customHeight="1" x14ac:dyDescent="0.25">
      <c r="B187" s="86"/>
      <c r="C187" s="110" t="s">
        <v>64</v>
      </c>
      <c r="D187" s="333"/>
      <c r="E187" s="333"/>
      <c r="F187" s="333"/>
      <c r="G187" s="333"/>
      <c r="H187" s="333"/>
      <c r="I187" s="333"/>
      <c r="J187" s="333"/>
      <c r="K187" s="333"/>
      <c r="L187" s="333"/>
      <c r="M187" s="333"/>
      <c r="N187" s="333"/>
      <c r="O187" s="333"/>
      <c r="P187" s="367">
        <f t="shared" si="333"/>
        <v>0</v>
      </c>
    </row>
    <row r="188" spans="2:21" ht="14.65" customHeight="1" x14ac:dyDescent="0.25">
      <c r="B188" s="77"/>
      <c r="C188" s="46" t="s">
        <v>65</v>
      </c>
      <c r="D188" s="386">
        <f>D187*$G$7</f>
        <v>0</v>
      </c>
      <c r="E188" s="386">
        <f t="shared" ref="E188" si="345">E187*$G$7</f>
        <v>0</v>
      </c>
      <c r="F188" s="386">
        <f t="shared" ref="F188" si="346">F187*$G$7</f>
        <v>0</v>
      </c>
      <c r="G188" s="386">
        <f t="shared" ref="G188" si="347">G187*$G$7</f>
        <v>0</v>
      </c>
      <c r="H188" s="386">
        <f t="shared" ref="H188" si="348">H187*$G$7</f>
        <v>0</v>
      </c>
      <c r="I188" s="386">
        <f t="shared" ref="I188" si="349">I187*$G$7</f>
        <v>0</v>
      </c>
      <c r="J188" s="386">
        <f t="shared" ref="J188" si="350">J187*$G$7</f>
        <v>0</v>
      </c>
      <c r="K188" s="386">
        <f t="shared" ref="K188" si="351">K187*$G$7</f>
        <v>0</v>
      </c>
      <c r="L188" s="386">
        <f t="shared" ref="L188" si="352">L187*$G$7</f>
        <v>0</v>
      </c>
      <c r="M188" s="386">
        <f t="shared" ref="M188" si="353">M187*$G$7</f>
        <v>0</v>
      </c>
      <c r="N188" s="386">
        <f t="shared" ref="N188" si="354">N187*$G$7</f>
        <v>0</v>
      </c>
      <c r="O188" s="386">
        <f t="shared" ref="O188" si="355">O187*$G$7</f>
        <v>0</v>
      </c>
      <c r="P188" s="367">
        <f t="shared" si="333"/>
        <v>0</v>
      </c>
    </row>
    <row r="189" spans="2:21" ht="14.65" customHeight="1" thickBot="1" x14ac:dyDescent="0.3">
      <c r="B189" s="105"/>
      <c r="C189" s="321" t="s">
        <v>66</v>
      </c>
      <c r="D189" s="379"/>
      <c r="E189" s="379"/>
      <c r="F189" s="379"/>
      <c r="G189" s="379"/>
      <c r="H189" s="379"/>
      <c r="I189" s="379"/>
      <c r="J189" s="379"/>
      <c r="K189" s="379"/>
      <c r="L189" s="379"/>
      <c r="M189" s="379"/>
      <c r="N189" s="379"/>
      <c r="O189" s="379"/>
      <c r="P189" s="366">
        <f>SUM(D189:O189)</f>
        <v>0</v>
      </c>
    </row>
    <row r="190" spans="2:21" ht="14.65" customHeight="1" x14ac:dyDescent="0.25">
      <c r="B190" s="77"/>
      <c r="C190" s="110" t="s">
        <v>67</v>
      </c>
      <c r="D190" s="333"/>
      <c r="E190" s="333"/>
      <c r="F190" s="333"/>
      <c r="G190" s="333"/>
      <c r="H190" s="333"/>
      <c r="I190" s="333"/>
      <c r="J190" s="333"/>
      <c r="K190" s="333"/>
      <c r="L190" s="333"/>
      <c r="M190" s="333"/>
      <c r="N190" s="333"/>
      <c r="O190" s="333"/>
      <c r="P190" s="367">
        <f t="shared" si="333"/>
        <v>0</v>
      </c>
    </row>
    <row r="191" spans="2:21" ht="14.65" customHeight="1" x14ac:dyDescent="0.25">
      <c r="B191" s="77"/>
      <c r="C191" s="46" t="s">
        <v>68</v>
      </c>
      <c r="D191" s="386">
        <f>D190*$G$8</f>
        <v>0</v>
      </c>
      <c r="E191" s="386">
        <f t="shared" ref="E191" si="356">E190*$G$8</f>
        <v>0</v>
      </c>
      <c r="F191" s="386">
        <f t="shared" ref="F191" si="357">F190*$G$8</f>
        <v>0</v>
      </c>
      <c r="G191" s="386">
        <f t="shared" ref="G191" si="358">G190*$G$8</f>
        <v>0</v>
      </c>
      <c r="H191" s="386">
        <f t="shared" ref="H191" si="359">H190*$G$8</f>
        <v>0</v>
      </c>
      <c r="I191" s="386">
        <f t="shared" ref="I191" si="360">I190*$G$8</f>
        <v>0</v>
      </c>
      <c r="J191" s="386">
        <f t="shared" ref="J191" si="361">J190*$G$8</f>
        <v>0</v>
      </c>
      <c r="K191" s="386">
        <f t="shared" ref="K191" si="362">K190*$G$8</f>
        <v>0</v>
      </c>
      <c r="L191" s="386">
        <f t="shared" ref="L191" si="363">L190*$G$8</f>
        <v>0</v>
      </c>
      <c r="M191" s="386">
        <f t="shared" ref="M191" si="364">M190*$G$8</f>
        <v>0</v>
      </c>
      <c r="N191" s="386">
        <f t="shared" ref="N191" si="365">N190*$G$8</f>
        <v>0</v>
      </c>
      <c r="O191" s="386">
        <f t="shared" ref="O191" si="366">O190*$G$8</f>
        <v>0</v>
      </c>
      <c r="P191" s="367">
        <f t="shared" si="333"/>
        <v>0</v>
      </c>
    </row>
    <row r="192" spans="2:21" ht="14.65" customHeight="1" thickBot="1" x14ac:dyDescent="0.3">
      <c r="B192" s="105"/>
      <c r="C192" s="321" t="s">
        <v>69</v>
      </c>
      <c r="D192" s="379"/>
      <c r="E192" s="379"/>
      <c r="F192" s="379"/>
      <c r="G192" s="379"/>
      <c r="H192" s="379"/>
      <c r="I192" s="379"/>
      <c r="J192" s="379"/>
      <c r="K192" s="379"/>
      <c r="L192" s="379"/>
      <c r="M192" s="379"/>
      <c r="N192" s="379"/>
      <c r="O192" s="379"/>
      <c r="P192" s="366">
        <f>SUM(D192:O192)</f>
        <v>0</v>
      </c>
    </row>
    <row r="193" spans="2:17" ht="15.75" thickBot="1" x14ac:dyDescent="0.3">
      <c r="B193" s="77"/>
      <c r="C193" s="324" t="s">
        <v>70</v>
      </c>
      <c r="D193" s="381">
        <f>D188+D189+D185+D186+D191+D192+D182+D183</f>
        <v>0</v>
      </c>
      <c r="E193" s="381">
        <f t="shared" ref="E193:O193" si="367">E188+E189+E185+E186+E191+E192+E182+E183</f>
        <v>0</v>
      </c>
      <c r="F193" s="381">
        <f t="shared" si="367"/>
        <v>0</v>
      </c>
      <c r="G193" s="381">
        <f t="shared" si="367"/>
        <v>0</v>
      </c>
      <c r="H193" s="381">
        <f t="shared" si="367"/>
        <v>0</v>
      </c>
      <c r="I193" s="381">
        <f t="shared" si="367"/>
        <v>0</v>
      </c>
      <c r="J193" s="381">
        <f t="shared" si="367"/>
        <v>0</v>
      </c>
      <c r="K193" s="381">
        <f t="shared" si="367"/>
        <v>0</v>
      </c>
      <c r="L193" s="381">
        <f t="shared" si="367"/>
        <v>0</v>
      </c>
      <c r="M193" s="381">
        <f t="shared" si="367"/>
        <v>0</v>
      </c>
      <c r="N193" s="381">
        <f t="shared" si="367"/>
        <v>0</v>
      </c>
      <c r="O193" s="381">
        <f t="shared" si="367"/>
        <v>0</v>
      </c>
      <c r="P193" s="384">
        <f>SUM(D193:O193)</f>
        <v>0</v>
      </c>
    </row>
    <row r="194" spans="2:17" ht="15.75" x14ac:dyDescent="0.25">
      <c r="B194" s="105"/>
      <c r="C194" s="322" t="s">
        <v>71</v>
      </c>
      <c r="D194" s="370"/>
      <c r="E194" s="370"/>
      <c r="F194" s="370"/>
      <c r="G194" s="370"/>
      <c r="H194" s="370"/>
      <c r="I194" s="370"/>
      <c r="J194" s="370"/>
      <c r="K194" s="370"/>
      <c r="L194" s="370"/>
      <c r="M194" s="370"/>
      <c r="N194" s="370"/>
      <c r="O194" s="370"/>
      <c r="P194" s="383">
        <f t="shared" ref="P194:P201" si="368">SUM(D194:O194)</f>
        <v>0</v>
      </c>
      <c r="Q194" s="73"/>
    </row>
    <row r="195" spans="2:17" x14ac:dyDescent="0.25">
      <c r="B195" s="105"/>
      <c r="C195" s="92" t="s">
        <v>72</v>
      </c>
      <c r="D195" s="386">
        <f>D194*$G$9</f>
        <v>0</v>
      </c>
      <c r="E195" s="386">
        <f t="shared" ref="E195" si="369">E194*$G$9</f>
        <v>0</v>
      </c>
      <c r="F195" s="386">
        <f t="shared" ref="F195" si="370">F194*$G$9</f>
        <v>0</v>
      </c>
      <c r="G195" s="386">
        <f t="shared" ref="G195" si="371">G194*$G$9</f>
        <v>0</v>
      </c>
      <c r="H195" s="386">
        <f t="shared" ref="H195" si="372">H194*$G$9</f>
        <v>0</v>
      </c>
      <c r="I195" s="386">
        <f t="shared" ref="I195" si="373">I194*$G$9</f>
        <v>0</v>
      </c>
      <c r="J195" s="386">
        <f t="shared" ref="J195" si="374">J194*$G$9</f>
        <v>0</v>
      </c>
      <c r="K195" s="386">
        <f t="shared" ref="K195" si="375">K194*$G$9</f>
        <v>0</v>
      </c>
      <c r="L195" s="386">
        <f t="shared" ref="L195" si="376">L194*$G$9</f>
        <v>0</v>
      </c>
      <c r="M195" s="386">
        <f t="shared" ref="M195" si="377">M194*$G$9</f>
        <v>0</v>
      </c>
      <c r="N195" s="386">
        <f t="shared" ref="N195" si="378">N194*$G$9</f>
        <v>0</v>
      </c>
      <c r="O195" s="386">
        <f t="shared" ref="O195" si="379">O194*$G$9</f>
        <v>0</v>
      </c>
      <c r="P195" s="367">
        <f t="shared" si="368"/>
        <v>0</v>
      </c>
      <c r="Q195" s="73"/>
    </row>
    <row r="196" spans="2:17" ht="15.75" thickBot="1" x14ac:dyDescent="0.3">
      <c r="B196" s="105"/>
      <c r="C196" s="266" t="s">
        <v>73</v>
      </c>
      <c r="D196" s="379"/>
      <c r="E196" s="379"/>
      <c r="F196" s="379"/>
      <c r="G196" s="379"/>
      <c r="H196" s="379"/>
      <c r="I196" s="379"/>
      <c r="J196" s="379"/>
      <c r="K196" s="379"/>
      <c r="L196" s="379"/>
      <c r="M196" s="379"/>
      <c r="N196" s="379"/>
      <c r="O196" s="379"/>
      <c r="P196" s="366">
        <f>SUM(D196:O196)</f>
        <v>0</v>
      </c>
      <c r="Q196" s="73"/>
    </row>
    <row r="197" spans="2:17" ht="15.75" x14ac:dyDescent="0.25">
      <c r="B197" s="105"/>
      <c r="C197" s="322" t="s">
        <v>74</v>
      </c>
      <c r="D197" s="333"/>
      <c r="E197" s="333"/>
      <c r="F197" s="333"/>
      <c r="G197" s="333"/>
      <c r="H197" s="333"/>
      <c r="I197" s="333"/>
      <c r="J197" s="333"/>
      <c r="K197" s="333"/>
      <c r="L197" s="333"/>
      <c r="M197" s="333"/>
      <c r="N197" s="333"/>
      <c r="O197" s="333"/>
      <c r="P197" s="367">
        <f t="shared" si="368"/>
        <v>0</v>
      </c>
      <c r="Q197" s="73"/>
    </row>
    <row r="198" spans="2:17" ht="14.65" customHeight="1" x14ac:dyDescent="0.25">
      <c r="B198" s="77"/>
      <c r="C198" s="92" t="s">
        <v>75</v>
      </c>
      <c r="D198" s="386">
        <f>D197*$G$9</f>
        <v>0</v>
      </c>
      <c r="E198" s="386">
        <f t="shared" ref="E198" si="380">E197*$G$9</f>
        <v>0</v>
      </c>
      <c r="F198" s="386">
        <f t="shared" ref="F198" si="381">F197*$G$9</f>
        <v>0</v>
      </c>
      <c r="G198" s="386">
        <f t="shared" ref="G198" si="382">G197*$G$9</f>
        <v>0</v>
      </c>
      <c r="H198" s="386">
        <f t="shared" ref="H198" si="383">H197*$G$9</f>
        <v>0</v>
      </c>
      <c r="I198" s="386">
        <f t="shared" ref="I198" si="384">I197*$G$9</f>
        <v>0</v>
      </c>
      <c r="J198" s="386">
        <f t="shared" ref="J198" si="385">J197*$G$9</f>
        <v>0</v>
      </c>
      <c r="K198" s="386">
        <f t="shared" ref="K198" si="386">K197*$G$9</f>
        <v>0</v>
      </c>
      <c r="L198" s="386">
        <f t="shared" ref="L198" si="387">L197*$G$9</f>
        <v>0</v>
      </c>
      <c r="M198" s="386">
        <f t="shared" ref="M198" si="388">M197*$G$9</f>
        <v>0</v>
      </c>
      <c r="N198" s="386">
        <f t="shared" ref="N198" si="389">N197*$G$9</f>
        <v>0</v>
      </c>
      <c r="O198" s="386">
        <f t="shared" ref="O198" si="390">O197*$G$9</f>
        <v>0</v>
      </c>
      <c r="P198" s="383">
        <f t="shared" si="368"/>
        <v>0</v>
      </c>
    </row>
    <row r="199" spans="2:17" ht="14.65" customHeight="1" thickBot="1" x14ac:dyDescent="0.3">
      <c r="B199" s="105"/>
      <c r="C199" s="266" t="s">
        <v>76</v>
      </c>
      <c r="D199" s="379"/>
      <c r="E199" s="379"/>
      <c r="F199" s="379"/>
      <c r="G199" s="379"/>
      <c r="H199" s="379"/>
      <c r="I199" s="379"/>
      <c r="J199" s="379"/>
      <c r="K199" s="379"/>
      <c r="L199" s="379"/>
      <c r="M199" s="379"/>
      <c r="N199" s="379"/>
      <c r="O199" s="379"/>
      <c r="P199" s="366">
        <f>SUM(D199:O199)</f>
        <v>0</v>
      </c>
    </row>
    <row r="200" spans="2:17" ht="14.65" customHeight="1" thickBot="1" x14ac:dyDescent="0.3">
      <c r="B200" s="77"/>
      <c r="C200" s="325" t="s">
        <v>77</v>
      </c>
      <c r="D200" s="381">
        <f>D195+D196+D198+D199</f>
        <v>0</v>
      </c>
      <c r="E200" s="381">
        <f t="shared" ref="E200:O200" si="391">E195+E196+E198+E199</f>
        <v>0</v>
      </c>
      <c r="F200" s="381">
        <f t="shared" si="391"/>
        <v>0</v>
      </c>
      <c r="G200" s="381">
        <f t="shared" si="391"/>
        <v>0</v>
      </c>
      <c r="H200" s="381">
        <f t="shared" si="391"/>
        <v>0</v>
      </c>
      <c r="I200" s="381">
        <f t="shared" si="391"/>
        <v>0</v>
      </c>
      <c r="J200" s="381">
        <f t="shared" si="391"/>
        <v>0</v>
      </c>
      <c r="K200" s="381">
        <f t="shared" si="391"/>
        <v>0</v>
      </c>
      <c r="L200" s="381">
        <f t="shared" si="391"/>
        <v>0</v>
      </c>
      <c r="M200" s="381">
        <f t="shared" si="391"/>
        <v>0</v>
      </c>
      <c r="N200" s="381">
        <f t="shared" si="391"/>
        <v>0</v>
      </c>
      <c r="O200" s="381">
        <f t="shared" si="391"/>
        <v>0</v>
      </c>
      <c r="P200" s="384">
        <f t="shared" si="368"/>
        <v>0</v>
      </c>
    </row>
    <row r="201" spans="2:17" ht="15.75" thickBot="1" x14ac:dyDescent="0.3">
      <c r="B201" s="77"/>
      <c r="C201" s="324" t="s">
        <v>78</v>
      </c>
      <c r="D201" s="387">
        <f t="shared" ref="D201:O201" si="392">D193+D200</f>
        <v>0</v>
      </c>
      <c r="E201" s="387">
        <f t="shared" si="392"/>
        <v>0</v>
      </c>
      <c r="F201" s="387">
        <f t="shared" si="392"/>
        <v>0</v>
      </c>
      <c r="G201" s="387">
        <f t="shared" si="392"/>
        <v>0</v>
      </c>
      <c r="H201" s="387">
        <f t="shared" si="392"/>
        <v>0</v>
      </c>
      <c r="I201" s="387">
        <f t="shared" si="392"/>
        <v>0</v>
      </c>
      <c r="J201" s="387">
        <f t="shared" si="392"/>
        <v>0</v>
      </c>
      <c r="K201" s="387">
        <f t="shared" si="392"/>
        <v>0</v>
      </c>
      <c r="L201" s="387">
        <f t="shared" si="392"/>
        <v>0</v>
      </c>
      <c r="M201" s="387">
        <f t="shared" si="392"/>
        <v>0</v>
      </c>
      <c r="N201" s="387">
        <f t="shared" si="392"/>
        <v>0</v>
      </c>
      <c r="O201" s="387">
        <f t="shared" si="392"/>
        <v>0</v>
      </c>
      <c r="P201" s="384">
        <f t="shared" si="368"/>
        <v>0</v>
      </c>
    </row>
    <row r="202" spans="2:17" x14ac:dyDescent="0.25">
      <c r="B202" s="77"/>
      <c r="C202" s="326" t="s">
        <v>370</v>
      </c>
      <c r="D202" s="515"/>
      <c r="E202" s="515"/>
      <c r="F202" s="515"/>
      <c r="G202" s="515"/>
      <c r="H202" s="515"/>
      <c r="I202" s="515"/>
      <c r="J202" s="515"/>
      <c r="K202" s="515"/>
      <c r="L202" s="515"/>
      <c r="M202" s="515"/>
      <c r="N202" s="515"/>
      <c r="O202" s="515"/>
      <c r="P202" s="351" t="e">
        <f>P201/b_2028</f>
        <v>#DIV/0!</v>
      </c>
    </row>
    <row r="203" spans="2:17" ht="15.75" thickBot="1" x14ac:dyDescent="0.3">
      <c r="B203" s="91"/>
      <c r="C203" s="163" t="s">
        <v>79</v>
      </c>
      <c r="D203" s="382" t="e">
        <f t="shared" ref="D203:P203" si="393">D193/D201</f>
        <v>#DIV/0!</v>
      </c>
      <c r="E203" s="382" t="e">
        <f t="shared" si="393"/>
        <v>#DIV/0!</v>
      </c>
      <c r="F203" s="382" t="e">
        <f t="shared" si="393"/>
        <v>#DIV/0!</v>
      </c>
      <c r="G203" s="382" t="e">
        <f t="shared" si="393"/>
        <v>#DIV/0!</v>
      </c>
      <c r="H203" s="382" t="e">
        <f t="shared" si="393"/>
        <v>#DIV/0!</v>
      </c>
      <c r="I203" s="382" t="e">
        <f t="shared" si="393"/>
        <v>#DIV/0!</v>
      </c>
      <c r="J203" s="382" t="e">
        <f t="shared" si="393"/>
        <v>#DIV/0!</v>
      </c>
      <c r="K203" s="382" t="e">
        <f t="shared" si="393"/>
        <v>#DIV/0!</v>
      </c>
      <c r="L203" s="382" t="e">
        <f t="shared" si="393"/>
        <v>#DIV/0!</v>
      </c>
      <c r="M203" s="382" t="e">
        <f t="shared" si="393"/>
        <v>#DIV/0!</v>
      </c>
      <c r="N203" s="382" t="e">
        <f t="shared" si="393"/>
        <v>#DIV/0!</v>
      </c>
      <c r="O203" s="382" t="e">
        <f t="shared" si="393"/>
        <v>#DIV/0!</v>
      </c>
      <c r="P203" s="385" t="e">
        <f t="shared" si="393"/>
        <v>#DIV/0!</v>
      </c>
      <c r="Q203" s="97"/>
    </row>
  </sheetData>
  <mergeCells count="108">
    <mergeCell ref="B4:P4"/>
    <mergeCell ref="B10:P10"/>
    <mergeCell ref="D71:D72"/>
    <mergeCell ref="P17:P18"/>
    <mergeCell ref="D17:D18"/>
    <mergeCell ref="E17:E18"/>
    <mergeCell ref="F17:F18"/>
    <mergeCell ref="G17:G18"/>
    <mergeCell ref="H17:H18"/>
    <mergeCell ref="I17:I18"/>
    <mergeCell ref="J17:J18"/>
    <mergeCell ref="K17:K18"/>
    <mergeCell ref="L17:L18"/>
    <mergeCell ref="M17:M18"/>
    <mergeCell ref="D44:D45"/>
    <mergeCell ref="E44:E45"/>
    <mergeCell ref="F44:F45"/>
    <mergeCell ref="G44:G45"/>
    <mergeCell ref="H44:H45"/>
    <mergeCell ref="N17:N18"/>
    <mergeCell ref="O17:O18"/>
    <mergeCell ref="N44:N45"/>
    <mergeCell ref="O44:O45"/>
    <mergeCell ref="J44:J45"/>
    <mergeCell ref="I44:I45"/>
    <mergeCell ref="K44:K45"/>
    <mergeCell ref="P44:P45"/>
    <mergeCell ref="L44:L45"/>
    <mergeCell ref="M44:M45"/>
    <mergeCell ref="P71:P72"/>
    <mergeCell ref="N71:N72"/>
    <mergeCell ref="O71:O72"/>
    <mergeCell ref="K71:K72"/>
    <mergeCell ref="L71:L72"/>
    <mergeCell ref="M71:M72"/>
    <mergeCell ref="E98:E99"/>
    <mergeCell ref="F98:F99"/>
    <mergeCell ref="G98:G99"/>
    <mergeCell ref="H98:H99"/>
    <mergeCell ref="I98:I99"/>
    <mergeCell ref="J98:J99"/>
    <mergeCell ref="E71:E72"/>
    <mergeCell ref="F71:F72"/>
    <mergeCell ref="G71:G72"/>
    <mergeCell ref="H71:H72"/>
    <mergeCell ref="I71:I72"/>
    <mergeCell ref="J71:J72"/>
    <mergeCell ref="O152:O153"/>
    <mergeCell ref="P152:P153"/>
    <mergeCell ref="I152:I153"/>
    <mergeCell ref="J152:J153"/>
    <mergeCell ref="D125:D126"/>
    <mergeCell ref="E125:E126"/>
    <mergeCell ref="P98:P99"/>
    <mergeCell ref="P125:P126"/>
    <mergeCell ref="F125:F126"/>
    <mergeCell ref="G125:G126"/>
    <mergeCell ref="H125:H126"/>
    <mergeCell ref="I125:I126"/>
    <mergeCell ref="J125:J126"/>
    <mergeCell ref="K125:K126"/>
    <mergeCell ref="L125:L126"/>
    <mergeCell ref="M125:M126"/>
    <mergeCell ref="N125:N126"/>
    <mergeCell ref="O125:O126"/>
    <mergeCell ref="K98:K99"/>
    <mergeCell ref="L98:L99"/>
    <mergeCell ref="M98:M99"/>
    <mergeCell ref="N98:N99"/>
    <mergeCell ref="O98:O99"/>
    <mergeCell ref="D98:D99"/>
    <mergeCell ref="D152:D153"/>
    <mergeCell ref="E152:E153"/>
    <mergeCell ref="F152:F153"/>
    <mergeCell ref="G152:G153"/>
    <mergeCell ref="H152:H153"/>
    <mergeCell ref="K152:K153"/>
    <mergeCell ref="L152:L153"/>
    <mergeCell ref="M152:M153"/>
    <mergeCell ref="N152:N153"/>
    <mergeCell ref="D179:D180"/>
    <mergeCell ref="E179:E180"/>
    <mergeCell ref="F179:F180"/>
    <mergeCell ref="G179:G180"/>
    <mergeCell ref="H179:H180"/>
    <mergeCell ref="P179:P180"/>
    <mergeCell ref="B179:B180"/>
    <mergeCell ref="I179:I180"/>
    <mergeCell ref="J179:J180"/>
    <mergeCell ref="K179:K180"/>
    <mergeCell ref="L179:L180"/>
    <mergeCell ref="M179:M180"/>
    <mergeCell ref="N179:N180"/>
    <mergeCell ref="O179:O180"/>
    <mergeCell ref="C125:C126"/>
    <mergeCell ref="C152:C153"/>
    <mergeCell ref="C179:C180"/>
    <mergeCell ref="B12:C12"/>
    <mergeCell ref="B71:B72"/>
    <mergeCell ref="C17:C18"/>
    <mergeCell ref="C44:C45"/>
    <mergeCell ref="C71:C72"/>
    <mergeCell ref="C98:C99"/>
    <mergeCell ref="B125:B126"/>
    <mergeCell ref="B17:B18"/>
    <mergeCell ref="B44:B45"/>
    <mergeCell ref="B152:B153"/>
    <mergeCell ref="B98:B99"/>
  </mergeCells>
  <pageMargins left="0.70866141732283472" right="0.70866141732283472" top="0.74803149606299213" bottom="0.74803149606299213" header="0.31496062992125984" footer="0.31496062992125984"/>
  <pageSetup paperSize="9" scale="66" fitToHeight="6" orientation="landscape"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3160-04CB-4F9C-858C-411F39186378}">
  <sheetPr>
    <tabColor rgb="FFFCBA12"/>
    <pageSetUpPr fitToPage="1"/>
  </sheetPr>
  <dimension ref="A2:L56"/>
  <sheetViews>
    <sheetView showGridLines="0" zoomScaleNormal="100" workbookViewId="0">
      <pane xSplit="1" ySplit="2" topLeftCell="B24" activePane="bottomRight" state="frozen"/>
      <selection pane="topRight" activeCell="B1" sqref="B1"/>
      <selection pane="bottomLeft" activeCell="A2" sqref="A2"/>
      <selection pane="bottomRight" activeCell="C58" sqref="C58"/>
    </sheetView>
  </sheetViews>
  <sheetFormatPr defaultRowHeight="15" x14ac:dyDescent="0.25"/>
  <cols>
    <col min="1" max="1" width="2.5703125" customWidth="1"/>
    <col min="2" max="2" width="50.140625" style="3" customWidth="1"/>
    <col min="3" max="9" width="9.28515625" style="3"/>
  </cols>
  <sheetData>
    <row r="2" spans="1:12" ht="18.75" x14ac:dyDescent="0.3">
      <c r="B2" s="75" t="s">
        <v>80</v>
      </c>
    </row>
    <row r="3" spans="1:12" ht="15" customHeight="1" x14ac:dyDescent="0.3">
      <c r="B3" s="75"/>
    </row>
    <row r="4" spans="1:12" ht="53.65" customHeight="1" x14ac:dyDescent="0.25">
      <c r="B4" s="548" t="s">
        <v>497</v>
      </c>
      <c r="C4" s="555"/>
      <c r="D4" s="555"/>
      <c r="E4" s="555"/>
      <c r="F4" s="555"/>
      <c r="G4" s="555"/>
      <c r="H4" s="555"/>
      <c r="I4" s="556"/>
      <c r="L4" s="49"/>
    </row>
    <row r="5" spans="1:12" ht="14.65" customHeight="1" x14ac:dyDescent="0.25">
      <c r="A5" s="14"/>
      <c r="B5"/>
      <c r="C5" s="41"/>
      <c r="D5" s="41"/>
      <c r="E5" s="41"/>
      <c r="F5" s="41"/>
      <c r="G5" s="41"/>
      <c r="H5" s="41"/>
    </row>
    <row r="6" spans="1:12" x14ac:dyDescent="0.25">
      <c r="A6" s="5"/>
    </row>
    <row r="7" spans="1:12" x14ac:dyDescent="0.25">
      <c r="A7" s="5"/>
      <c r="B7" s="356" t="s">
        <v>4</v>
      </c>
    </row>
    <row r="8" spans="1:12" x14ac:dyDescent="0.25">
      <c r="B8" s="111"/>
    </row>
    <row r="9" spans="1:12" x14ac:dyDescent="0.25">
      <c r="B9" s="111" t="s">
        <v>81</v>
      </c>
    </row>
    <row r="10" spans="1:12" x14ac:dyDescent="0.25">
      <c r="C10" s="40">
        <f>ÜLDANDMED!C11</f>
        <v>2022</v>
      </c>
      <c r="D10" s="40">
        <f>ÜLDANDMED!D11</f>
        <v>2023</v>
      </c>
      <c r="E10" s="40">
        <f>ÜLDANDMED!E11</f>
        <v>2024</v>
      </c>
      <c r="F10" s="40">
        <f>ÜLDANDMED!F11</f>
        <v>2025</v>
      </c>
      <c r="G10" s="40">
        <f>ÜLDANDMED!G11</f>
        <v>2026</v>
      </c>
      <c r="H10" s="40">
        <f>ÜLDANDMED!H11</f>
        <v>2027</v>
      </c>
      <c r="I10" s="40">
        <f>ÜLDANDMED!I11</f>
        <v>2028</v>
      </c>
    </row>
    <row r="11" spans="1:12" x14ac:dyDescent="0.25">
      <c r="B11" s="267" t="s">
        <v>366</v>
      </c>
      <c r="C11" s="388">
        <f>ELEKTER!P13</f>
        <v>0</v>
      </c>
      <c r="D11" s="388">
        <f>ELEKTER!P18</f>
        <v>0</v>
      </c>
      <c r="E11" s="388">
        <f>ELEKTER!P23</f>
        <v>0</v>
      </c>
      <c r="F11" s="388">
        <f>ELEKTER!P28</f>
        <v>0</v>
      </c>
      <c r="G11" s="388">
        <f>ELEKTER!P33</f>
        <v>0</v>
      </c>
      <c r="H11" s="388">
        <f>ELEKTER!P38</f>
        <v>0</v>
      </c>
      <c r="I11" s="388">
        <f>ELEKTER!P43</f>
        <v>0</v>
      </c>
    </row>
    <row r="12" spans="1:12" x14ac:dyDescent="0.25">
      <c r="B12" s="267" t="s">
        <v>28</v>
      </c>
      <c r="C12" s="388">
        <f>ELEKTER!P15</f>
        <v>0</v>
      </c>
      <c r="D12" s="388">
        <f>ELEKTER!P20</f>
        <v>0</v>
      </c>
      <c r="E12" s="388">
        <f>ELEKTER!P25</f>
        <v>0</v>
      </c>
      <c r="F12" s="388">
        <f>ELEKTER!P30</f>
        <v>0</v>
      </c>
      <c r="G12" s="388">
        <f>ELEKTER!P35</f>
        <v>0</v>
      </c>
      <c r="H12" s="388">
        <f>ELEKTER!P40</f>
        <v>0</v>
      </c>
      <c r="I12" s="388">
        <f>ELEKTER!P45</f>
        <v>0</v>
      </c>
    </row>
    <row r="13" spans="1:12" ht="14.65" customHeight="1" x14ac:dyDescent="0.25">
      <c r="B13" s="113" t="s">
        <v>82</v>
      </c>
      <c r="C13" s="388">
        <f>ELEKTER!P16</f>
        <v>0</v>
      </c>
      <c r="D13" s="388">
        <f>ELEKTER!P21</f>
        <v>0</v>
      </c>
      <c r="E13" s="388">
        <f>ELEKTER!P26</f>
        <v>0</v>
      </c>
      <c r="F13" s="388">
        <f>ELEKTER!P31</f>
        <v>0</v>
      </c>
      <c r="G13" s="388">
        <f>ELEKTER!P36</f>
        <v>0</v>
      </c>
      <c r="H13" s="388">
        <f>ELEKTER!P41</f>
        <v>0</v>
      </c>
      <c r="I13" s="388">
        <f>ELEKTER!P46</f>
        <v>0</v>
      </c>
    </row>
    <row r="14" spans="1:12" x14ac:dyDescent="0.25">
      <c r="B14" s="103" t="s">
        <v>364</v>
      </c>
      <c r="C14" s="389" t="e">
        <f>ELEKTER!P17</f>
        <v>#DIV/0!</v>
      </c>
      <c r="D14" s="389" t="e">
        <f>ELEKTER!P22</f>
        <v>#DIV/0!</v>
      </c>
      <c r="E14" s="389" t="e">
        <f>ELEKTER!P27</f>
        <v>#DIV/0!</v>
      </c>
      <c r="F14" s="389" t="e">
        <f>ELEKTER!P32</f>
        <v>#DIV/0!</v>
      </c>
      <c r="G14" s="389" t="e">
        <f>ELEKTER!P37</f>
        <v>#DIV/0!</v>
      </c>
      <c r="H14" s="389" t="e">
        <f>ELEKTER!P42</f>
        <v>#DIV/0!</v>
      </c>
      <c r="I14" s="388" t="e">
        <f>ELEKTER!P47</f>
        <v>#DIV/0!</v>
      </c>
    </row>
    <row r="15" spans="1:12" x14ac:dyDescent="0.25">
      <c r="B15" s="6"/>
    </row>
    <row r="18" spans="2:9" ht="14.65" customHeight="1" x14ac:dyDescent="0.25"/>
    <row r="19" spans="2:9" x14ac:dyDescent="0.25">
      <c r="B19" s="111" t="s">
        <v>30</v>
      </c>
    </row>
    <row r="20" spans="2:9" x14ac:dyDescent="0.25">
      <c r="C20" s="40">
        <f>ÜLDANDMED!C11</f>
        <v>2022</v>
      </c>
      <c r="D20" s="40">
        <f>ÜLDANDMED!D11</f>
        <v>2023</v>
      </c>
      <c r="E20" s="40">
        <f>ÜLDANDMED!E11</f>
        <v>2024</v>
      </c>
      <c r="F20" s="40">
        <f>ÜLDANDMED!F11</f>
        <v>2025</v>
      </c>
      <c r="G20" s="40">
        <f>ÜLDANDMED!G11</f>
        <v>2026</v>
      </c>
      <c r="H20" s="40">
        <f>ÜLDANDMED!H11</f>
        <v>2027</v>
      </c>
      <c r="I20" s="40">
        <f>ÜLDANDMED!I11</f>
        <v>2028</v>
      </c>
    </row>
    <row r="21" spans="2:9" x14ac:dyDescent="0.25">
      <c r="B21" s="113" t="s">
        <v>367</v>
      </c>
      <c r="C21" s="388">
        <f>SOOJUS!P16</f>
        <v>0</v>
      </c>
      <c r="D21" s="388">
        <f>SOOJUS!P18</f>
        <v>0</v>
      </c>
      <c r="E21" s="388">
        <f>SOOJUS!P20</f>
        <v>0</v>
      </c>
      <c r="F21" s="388">
        <f>SOOJUS!P22</f>
        <v>0</v>
      </c>
      <c r="G21" s="388">
        <f>SOOJUS!P24</f>
        <v>0</v>
      </c>
      <c r="H21" s="388">
        <f>SOOJUS!P26</f>
        <v>0</v>
      </c>
      <c r="I21" s="388">
        <f>SOOJUS!P28</f>
        <v>0</v>
      </c>
    </row>
    <row r="22" spans="2:9" ht="15.75" x14ac:dyDescent="0.25">
      <c r="B22" s="103" t="s">
        <v>365</v>
      </c>
      <c r="C22" s="388" t="e">
        <f>SOOJUS!P17</f>
        <v>#DIV/0!</v>
      </c>
      <c r="D22" s="388" t="e">
        <f>SOOJUS!P19</f>
        <v>#DIV/0!</v>
      </c>
      <c r="E22" s="388" t="e">
        <f>SOOJUS!P21</f>
        <v>#DIV/0!</v>
      </c>
      <c r="F22" s="388" t="e">
        <f>SOOJUS!P23</f>
        <v>#DIV/0!</v>
      </c>
      <c r="G22" s="388" t="e">
        <f>SOOJUS!P25</f>
        <v>#DIV/0!</v>
      </c>
      <c r="H22" s="388" t="e">
        <f>SOOJUS!P27</f>
        <v>#DIV/0!</v>
      </c>
      <c r="I22" s="388" t="e">
        <f>SOOJUS!P29</f>
        <v>#DIV/0!</v>
      </c>
    </row>
    <row r="23" spans="2:9" ht="14.65" customHeight="1" x14ac:dyDescent="0.25"/>
    <row r="24" spans="2:9" ht="14.65" customHeight="1" x14ac:dyDescent="0.25"/>
    <row r="27" spans="2:9" x14ac:dyDescent="0.25">
      <c r="B27" s="111" t="s">
        <v>36</v>
      </c>
      <c r="C27" s="42"/>
      <c r="D27" s="42"/>
      <c r="E27" s="42"/>
      <c r="F27" s="42"/>
      <c r="G27" s="42"/>
      <c r="H27" s="42"/>
    </row>
    <row r="28" spans="2:9" ht="14.65" customHeight="1" x14ac:dyDescent="0.25">
      <c r="C28" s="40">
        <f>ÜLDANDMED!C11</f>
        <v>2022</v>
      </c>
      <c r="D28" s="40">
        <f>ÜLDANDMED!D11</f>
        <v>2023</v>
      </c>
      <c r="E28" s="40">
        <f>ÜLDANDMED!E11</f>
        <v>2024</v>
      </c>
      <c r="F28" s="40">
        <f>ÜLDANDMED!F11</f>
        <v>2025</v>
      </c>
      <c r="G28" s="40">
        <f>ÜLDANDMED!G11</f>
        <v>2026</v>
      </c>
      <c r="H28" s="40">
        <f>ÜLDANDMED!H11</f>
        <v>2027</v>
      </c>
      <c r="I28" s="40">
        <f>ÜLDANDMED!I11</f>
        <v>2028</v>
      </c>
    </row>
    <row r="29" spans="2:9" ht="14.65" customHeight="1" x14ac:dyDescent="0.25">
      <c r="B29" s="107" t="s">
        <v>368</v>
      </c>
      <c r="C29" s="390">
        <f>VESI!P13</f>
        <v>0</v>
      </c>
      <c r="D29" s="390">
        <f>VESI!P15</f>
        <v>0</v>
      </c>
      <c r="E29" s="390">
        <f>VESI!P17</f>
        <v>0</v>
      </c>
      <c r="F29" s="390">
        <f>VESI!P19</f>
        <v>0</v>
      </c>
      <c r="G29" s="390">
        <f>VESI!P21</f>
        <v>0</v>
      </c>
      <c r="H29" s="390">
        <f>VESI!P23</f>
        <v>0</v>
      </c>
      <c r="I29" s="388">
        <f>VESI!P25</f>
        <v>0</v>
      </c>
    </row>
    <row r="30" spans="2:9" ht="14.65" customHeight="1" x14ac:dyDescent="0.25">
      <c r="B30" s="107" t="s">
        <v>369</v>
      </c>
      <c r="C30" s="390" t="e">
        <f>VESI!P14</f>
        <v>#DIV/0!</v>
      </c>
      <c r="D30" s="390" t="e">
        <f>VESI!P16</f>
        <v>#DIV/0!</v>
      </c>
      <c r="E30" s="390" t="e">
        <f>VESI!P18</f>
        <v>#DIV/0!</v>
      </c>
      <c r="F30" s="390" t="e">
        <f>VESI!P20</f>
        <v>#DIV/0!</v>
      </c>
      <c r="G30" s="390" t="e">
        <f>VESI!P22</f>
        <v>#DIV/0!</v>
      </c>
      <c r="H30" s="390" t="e">
        <f>VESI!P24</f>
        <v>#DIV/0!</v>
      </c>
      <c r="I30" s="388" t="e">
        <f>VESI!P26</f>
        <v>#DIV/0!</v>
      </c>
    </row>
    <row r="31" spans="2:9" ht="14.65" customHeight="1" x14ac:dyDescent="0.25"/>
    <row r="35" spans="2:10" x14ac:dyDescent="0.25">
      <c r="B35" s="111" t="s">
        <v>468</v>
      </c>
    </row>
    <row r="36" spans="2:10" x14ac:dyDescent="0.25">
      <c r="C36" s="40">
        <f>ÜLDANDMED!C11</f>
        <v>2022</v>
      </c>
      <c r="D36" s="40">
        <f>ÜLDANDMED!D11</f>
        <v>2023</v>
      </c>
      <c r="E36" s="40">
        <f>ÜLDANDMED!E11</f>
        <v>2024</v>
      </c>
      <c r="F36" s="40">
        <f>ÜLDANDMED!F11</f>
        <v>2025</v>
      </c>
      <c r="G36" s="40">
        <f>ÜLDANDMED!G11</f>
        <v>2026</v>
      </c>
      <c r="H36" s="40">
        <f>ÜLDANDMED!H11</f>
        <v>2027</v>
      </c>
      <c r="I36" s="40">
        <f>ÜLDANDMED!I11</f>
        <v>2028</v>
      </c>
    </row>
    <row r="37" spans="2:10" ht="14.65" customHeight="1" x14ac:dyDescent="0.25">
      <c r="B37" s="113" t="s">
        <v>44</v>
      </c>
      <c r="C37" s="390">
        <f>PABER!D15</f>
        <v>0</v>
      </c>
      <c r="D37" s="390">
        <f>PABER!D21</f>
        <v>0</v>
      </c>
      <c r="E37" s="390">
        <f>PABER!D27</f>
        <v>0</v>
      </c>
      <c r="F37" s="390">
        <f>PABER!D33</f>
        <v>0</v>
      </c>
      <c r="G37" s="390">
        <f>PABER!D39</f>
        <v>0</v>
      </c>
      <c r="H37" s="390">
        <f>PABER!D45</f>
        <v>0</v>
      </c>
      <c r="I37" s="389">
        <f>PABER!D51</f>
        <v>0</v>
      </c>
    </row>
    <row r="38" spans="2:10" x14ac:dyDescent="0.25">
      <c r="B38" s="108" t="s">
        <v>45</v>
      </c>
      <c r="C38" s="390">
        <f>PABER!D16</f>
        <v>0</v>
      </c>
      <c r="D38" s="390">
        <f>PABER!D22</f>
        <v>0</v>
      </c>
      <c r="E38" s="390">
        <f>PABER!D28</f>
        <v>0</v>
      </c>
      <c r="F38" s="390">
        <f>PABER!D34</f>
        <v>0</v>
      </c>
      <c r="G38" s="390">
        <f>PABER!D40</f>
        <v>0</v>
      </c>
      <c r="H38" s="390">
        <f>PABER!D46</f>
        <v>0</v>
      </c>
      <c r="I38" s="389">
        <f>PABER!D52</f>
        <v>0</v>
      </c>
    </row>
    <row r="39" spans="2:10" x14ac:dyDescent="0.25">
      <c r="B39" s="108" t="s">
        <v>46</v>
      </c>
      <c r="C39" s="390" t="e">
        <f>PABER!D17</f>
        <v>#DIV/0!</v>
      </c>
      <c r="D39" s="390" t="e">
        <f>PABER!D23</f>
        <v>#DIV/0!</v>
      </c>
      <c r="E39" s="390" t="e">
        <f>PABER!D29</f>
        <v>#DIV/0!</v>
      </c>
      <c r="F39" s="390" t="e">
        <f>PABER!D35</f>
        <v>#DIV/0!</v>
      </c>
      <c r="G39" s="390" t="e">
        <f>PABER!D41</f>
        <v>#DIV/0!</v>
      </c>
      <c r="H39" s="390" t="e">
        <f>PABER!D47</f>
        <v>#DIV/0!</v>
      </c>
      <c r="I39" s="389" t="e">
        <f>PABER!D53</f>
        <v>#DIV/0!</v>
      </c>
    </row>
    <row r="40" spans="2:10" ht="14.65" customHeight="1" x14ac:dyDescent="0.25">
      <c r="B40" s="113" t="s">
        <v>47</v>
      </c>
      <c r="C40" s="390">
        <f>PABER!D18</f>
        <v>0</v>
      </c>
      <c r="D40" s="390">
        <f>PABER!D24</f>
        <v>0</v>
      </c>
      <c r="E40" s="390">
        <f>PABER!D30</f>
        <v>0</v>
      </c>
      <c r="F40" s="390">
        <f>PABER!D42</f>
        <v>0</v>
      </c>
      <c r="G40" s="390">
        <f>PABER!D42</f>
        <v>0</v>
      </c>
      <c r="H40" s="390">
        <f>PABER!D48</f>
        <v>0</v>
      </c>
      <c r="I40" s="389">
        <f>PABER!D54</f>
        <v>0</v>
      </c>
    </row>
    <row r="42" spans="2:10" x14ac:dyDescent="0.25">
      <c r="J42" s="49"/>
    </row>
    <row r="45" spans="2:10" ht="14.65" customHeight="1" x14ac:dyDescent="0.25">
      <c r="B45" s="111" t="s">
        <v>83</v>
      </c>
    </row>
    <row r="46" spans="2:10" ht="14.65" customHeight="1" x14ac:dyDescent="0.25">
      <c r="C46" s="40">
        <f>ÜLDANDMED!C11</f>
        <v>2022</v>
      </c>
      <c r="D46" s="40">
        <f>ÜLDANDMED!D11</f>
        <v>2023</v>
      </c>
      <c r="E46" s="40">
        <f>ÜLDANDMED!E11</f>
        <v>2024</v>
      </c>
      <c r="F46" s="40">
        <f>ÜLDANDMED!F11</f>
        <v>2025</v>
      </c>
      <c r="G46" s="40">
        <f>ÜLDANDMED!G11</f>
        <v>2026</v>
      </c>
      <c r="H46" s="40">
        <f>ÜLDANDMED!H11</f>
        <v>2027</v>
      </c>
      <c r="I46" s="40">
        <f>ÜLDANDMED!I11</f>
        <v>2028</v>
      </c>
    </row>
    <row r="47" spans="2:10" x14ac:dyDescent="0.25">
      <c r="B47" s="112" t="s">
        <v>60</v>
      </c>
      <c r="C47" s="389">
        <f>JÄÄTMED!P20+JÄÄTMED!P21</f>
        <v>0</v>
      </c>
      <c r="D47" s="389">
        <f>JÄÄTMED!P47+JÄÄTMED!P48</f>
        <v>0</v>
      </c>
      <c r="E47" s="389">
        <f>JÄÄTMED!P74+JÄÄTMED!P75</f>
        <v>0</v>
      </c>
      <c r="F47" s="389">
        <f>JÄÄTMED!P101+JÄÄTMED!P102</f>
        <v>0</v>
      </c>
      <c r="G47" s="389">
        <f>JÄÄTMED!P128+JÄÄTMED!P129</f>
        <v>0</v>
      </c>
      <c r="H47" s="389">
        <f>JÄÄTMED!P155+JÄÄTMED!P156</f>
        <v>0</v>
      </c>
      <c r="I47" s="388">
        <f>JÄÄTMED!P182+JÄÄTMED!P183</f>
        <v>0</v>
      </c>
    </row>
    <row r="48" spans="2:10" x14ac:dyDescent="0.25">
      <c r="B48" s="112" t="s">
        <v>63</v>
      </c>
      <c r="C48" s="389">
        <f>JÄÄTMED!P23+JÄÄTMED!P24</f>
        <v>0</v>
      </c>
      <c r="D48" s="389">
        <f>JÄÄTMED!P50+JÄÄTMED!P51</f>
        <v>0</v>
      </c>
      <c r="E48" s="389">
        <f>JÄÄTMED!P77+JÄÄTMED!P78</f>
        <v>0</v>
      </c>
      <c r="F48" s="389">
        <f>JÄÄTMED!P104+JÄÄTMED!P105</f>
        <v>0</v>
      </c>
      <c r="G48" s="389">
        <f>JÄÄTMED!P131+JÄÄTMED!P132</f>
        <v>0</v>
      </c>
      <c r="H48" s="389">
        <f>JÄÄTMED!P158+JÄÄTMED!P159</f>
        <v>0</v>
      </c>
      <c r="I48" s="389">
        <f>JÄÄTMED!P185+JÄÄTMED!P186</f>
        <v>0</v>
      </c>
    </row>
    <row r="49" spans="2:9" x14ac:dyDescent="0.25">
      <c r="B49" s="113" t="s">
        <v>66</v>
      </c>
      <c r="C49" s="389">
        <f>JÄÄTMED!P26+JÄÄTMED!P27</f>
        <v>0</v>
      </c>
      <c r="D49" s="389">
        <f>JÄÄTMED!P53+JÄÄTMED!P54</f>
        <v>0</v>
      </c>
      <c r="E49" s="389">
        <f>JÄÄTMED!P80+JÄÄTMED!P81</f>
        <v>0</v>
      </c>
      <c r="F49" s="389">
        <f>JÄÄTMED!P107+JÄÄTMED!P108</f>
        <v>0</v>
      </c>
      <c r="G49" s="389">
        <f>JÄÄTMED!P134+JÄÄTMED!P135</f>
        <v>0</v>
      </c>
      <c r="H49" s="389">
        <f>JÄÄTMED!P161+JÄÄTMED!P162</f>
        <v>0</v>
      </c>
      <c r="I49" s="388">
        <f>JÄÄTMED!P188+JÄÄTMED!P189</f>
        <v>0</v>
      </c>
    </row>
    <row r="50" spans="2:9" x14ac:dyDescent="0.25">
      <c r="B50" s="112" t="s">
        <v>84</v>
      </c>
      <c r="C50" s="389">
        <f>JÄÄTMED!P29+JÄÄTMED!P30</f>
        <v>0</v>
      </c>
      <c r="D50" s="389">
        <f>JÄÄTMED!P56+JÄÄTMED!P57</f>
        <v>0</v>
      </c>
      <c r="E50" s="389">
        <f>JÄÄTMED!P83+JÄÄTMED!P84</f>
        <v>0</v>
      </c>
      <c r="F50" s="389">
        <f>JÄÄTMED!P110+JÄÄTMED!P111</f>
        <v>0</v>
      </c>
      <c r="G50" s="389">
        <f>JÄÄTMED!P137+JÄÄTMED!P138</f>
        <v>0</v>
      </c>
      <c r="H50" s="389">
        <f>JÄÄTMED!P164+JÄÄTMED!P165</f>
        <v>0</v>
      </c>
      <c r="I50" s="388">
        <f>JÄÄTMED!P191+JÄÄTMED!P192</f>
        <v>0</v>
      </c>
    </row>
    <row r="51" spans="2:9" x14ac:dyDescent="0.25">
      <c r="B51" s="314" t="s">
        <v>85</v>
      </c>
      <c r="C51" s="391">
        <f>JÄÄTMED!P31</f>
        <v>0</v>
      </c>
      <c r="D51" s="391">
        <f>JÄÄTMED!P58</f>
        <v>0</v>
      </c>
      <c r="E51" s="391">
        <f>JÄÄTMED!P85</f>
        <v>0</v>
      </c>
      <c r="F51" s="391">
        <f>JÄÄTMED!P112</f>
        <v>0</v>
      </c>
      <c r="G51" s="391">
        <f>JÄÄTMED!P139</f>
        <v>0</v>
      </c>
      <c r="H51" s="391">
        <f>JÄÄTMED!P166</f>
        <v>0</v>
      </c>
      <c r="I51" s="391">
        <f>JÄÄTMED!P193</f>
        <v>0</v>
      </c>
    </row>
    <row r="52" spans="2:9" x14ac:dyDescent="0.25">
      <c r="B52" s="113" t="s">
        <v>86</v>
      </c>
      <c r="C52" s="389">
        <f>JÄÄTMED!P38</f>
        <v>0</v>
      </c>
      <c r="D52" s="389">
        <f>JÄÄTMED!P65</f>
        <v>0</v>
      </c>
      <c r="E52" s="389">
        <f>JÄÄTMED!P92</f>
        <v>0</v>
      </c>
      <c r="F52" s="389">
        <f>JÄÄTMED!P119</f>
        <v>0</v>
      </c>
      <c r="G52" s="389">
        <f>JÄÄTMED!P146</f>
        <v>0</v>
      </c>
      <c r="H52" s="389">
        <f>JÄÄTMED!P173</f>
        <v>0</v>
      </c>
      <c r="I52" s="388">
        <f>JÄÄTMED!P200</f>
        <v>0</v>
      </c>
    </row>
    <row r="53" spans="2:9" x14ac:dyDescent="0.25">
      <c r="B53" s="315" t="s">
        <v>87</v>
      </c>
      <c r="C53" s="390">
        <f>C51+C52</f>
        <v>0</v>
      </c>
      <c r="D53" s="390">
        <f t="shared" ref="D53:I53" si="0">D51+D52</f>
        <v>0</v>
      </c>
      <c r="E53" s="390">
        <f t="shared" si="0"/>
        <v>0</v>
      </c>
      <c r="F53" s="390">
        <f t="shared" si="0"/>
        <v>0</v>
      </c>
      <c r="G53" s="390">
        <f t="shared" si="0"/>
        <v>0</v>
      </c>
      <c r="H53" s="390">
        <f t="shared" si="0"/>
        <v>0</v>
      </c>
      <c r="I53" s="390">
        <f t="shared" si="0"/>
        <v>0</v>
      </c>
    </row>
    <row r="54" spans="2:9" x14ac:dyDescent="0.25">
      <c r="B54" s="316" t="s">
        <v>88</v>
      </c>
      <c r="C54" s="390">
        <f t="shared" ref="C54:I54" si="1">C53/1000</f>
        <v>0</v>
      </c>
      <c r="D54" s="390">
        <f t="shared" si="1"/>
        <v>0</v>
      </c>
      <c r="E54" s="390">
        <f t="shared" si="1"/>
        <v>0</v>
      </c>
      <c r="F54" s="390">
        <f t="shared" si="1"/>
        <v>0</v>
      </c>
      <c r="G54" s="390">
        <f t="shared" si="1"/>
        <v>0</v>
      </c>
      <c r="H54" s="390">
        <f t="shared" si="1"/>
        <v>0</v>
      </c>
      <c r="I54" s="390">
        <f t="shared" si="1"/>
        <v>0</v>
      </c>
    </row>
    <row r="55" spans="2:9" x14ac:dyDescent="0.25">
      <c r="B55" s="315" t="s">
        <v>370</v>
      </c>
      <c r="C55" s="390" t="e">
        <f>JÄÄTMED!P40</f>
        <v>#DIV/0!</v>
      </c>
      <c r="D55" s="390" t="e">
        <f>JÄÄTMED!P67</f>
        <v>#DIV/0!</v>
      </c>
      <c r="E55" s="390" t="e">
        <f>JÄÄTMED!P94</f>
        <v>#DIV/0!</v>
      </c>
      <c r="F55" s="390" t="e">
        <f>JÄÄTMED!P121</f>
        <v>#DIV/0!</v>
      </c>
      <c r="G55" s="390" t="e">
        <f>JÄÄTMED!P148</f>
        <v>#DIV/0!</v>
      </c>
      <c r="H55" s="390" t="e">
        <f>JÄÄTMED!P175</f>
        <v>#DIV/0!</v>
      </c>
      <c r="I55" s="390" t="e">
        <f>JÄÄTMED!P202</f>
        <v>#DIV/0!</v>
      </c>
    </row>
    <row r="56" spans="2:9" x14ac:dyDescent="0.25">
      <c r="B56" s="317" t="s">
        <v>79</v>
      </c>
      <c r="C56" s="392" t="e">
        <f>JÄÄTMED!P41</f>
        <v>#DIV/0!</v>
      </c>
      <c r="D56" s="393" t="e">
        <f>JÄÄTMED!P68</f>
        <v>#DIV/0!</v>
      </c>
      <c r="E56" s="393" t="e">
        <f>JÄÄTMED!P95</f>
        <v>#DIV/0!</v>
      </c>
      <c r="F56" s="393" t="e">
        <f>JÄÄTMED!P122</f>
        <v>#DIV/0!</v>
      </c>
      <c r="G56" s="393" t="e">
        <f>JÄÄTMED!P149</f>
        <v>#DIV/0!</v>
      </c>
      <c r="H56" s="393" t="e">
        <f>JÄÄTMED!P176</f>
        <v>#DIV/0!</v>
      </c>
      <c r="I56" s="394" t="e">
        <f>JÄÄTMED!P203</f>
        <v>#DIV/0!</v>
      </c>
    </row>
  </sheetData>
  <mergeCells count="1">
    <mergeCell ref="B4:I4"/>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9B50-E093-4341-83A2-DF5960AF8061}">
  <sheetPr>
    <tabColor rgb="FFFB8604"/>
    <pageSetUpPr fitToPage="1"/>
  </sheetPr>
  <dimension ref="A2:Q101"/>
  <sheetViews>
    <sheetView showGridLines="0" zoomScaleNormal="100" workbookViewId="0">
      <pane xSplit="1" ySplit="2" topLeftCell="B4" activePane="bottomRight" state="frozen"/>
      <selection pane="topRight" activeCell="B1" sqref="B1"/>
      <selection pane="bottomLeft" activeCell="A3" sqref="A3"/>
      <selection pane="bottomRight" activeCell="I17" sqref="I17"/>
    </sheetView>
  </sheetViews>
  <sheetFormatPr defaultRowHeight="14.65" customHeight="1" x14ac:dyDescent="0.25"/>
  <cols>
    <col min="1" max="1" width="2.5703125" customWidth="1"/>
    <col min="2" max="2" width="7.5703125" customWidth="1"/>
    <col min="3" max="3" width="51.7109375" style="3" bestFit="1" customWidth="1"/>
    <col min="4" max="4" width="15.7109375" style="68" customWidth="1"/>
    <col min="5" max="5" width="15.7109375" customWidth="1"/>
    <col min="6" max="6" width="8.7109375" customWidth="1"/>
  </cols>
  <sheetData>
    <row r="2" spans="1:17" ht="18.600000000000001" customHeight="1" x14ac:dyDescent="0.35">
      <c r="B2" s="28" t="s">
        <v>371</v>
      </c>
      <c r="C2" s="78"/>
    </row>
    <row r="3" spans="1:17" ht="14.65" customHeight="1" x14ac:dyDescent="0.3">
      <c r="B3" s="22"/>
      <c r="C3" s="79"/>
    </row>
    <row r="4" spans="1:17" ht="96.75" customHeight="1" x14ac:dyDescent="0.25">
      <c r="B4" s="548" t="s">
        <v>372</v>
      </c>
      <c r="C4" s="555"/>
      <c r="D4" s="555"/>
      <c r="E4" s="556"/>
    </row>
    <row r="6" spans="1:17" ht="14.65" customHeight="1" x14ac:dyDescent="0.25">
      <c r="B6" s="60" t="s">
        <v>2</v>
      </c>
      <c r="C6" s="80"/>
    </row>
    <row r="7" spans="1:17" ht="14.65" customHeight="1" x14ac:dyDescent="0.25">
      <c r="C7" s="378" t="s">
        <v>3</v>
      </c>
    </row>
    <row r="8" spans="1:17" ht="14.65" customHeight="1" x14ac:dyDescent="0.25">
      <c r="A8" s="1"/>
      <c r="B8" s="3"/>
      <c r="C8" s="340" t="s">
        <v>4</v>
      </c>
      <c r="D8" s="24"/>
      <c r="E8" s="3"/>
      <c r="F8" s="3"/>
      <c r="G8" s="24"/>
      <c r="H8" s="24"/>
      <c r="I8" s="24"/>
      <c r="J8" s="24"/>
      <c r="K8" s="24"/>
      <c r="L8" s="24"/>
      <c r="M8" s="24"/>
      <c r="N8" s="24"/>
      <c r="O8" s="24"/>
      <c r="P8" s="57"/>
      <c r="Q8" s="18"/>
    </row>
    <row r="9" spans="1:17" ht="14.65" customHeight="1" thickBot="1" x14ac:dyDescent="0.3"/>
    <row r="10" spans="1:17" ht="14.65" customHeight="1" x14ac:dyDescent="0.25">
      <c r="B10" s="591" t="s">
        <v>9</v>
      </c>
      <c r="C10" s="591" t="s">
        <v>10</v>
      </c>
      <c r="D10" s="626" t="s">
        <v>89</v>
      </c>
      <c r="E10" s="601" t="s">
        <v>90</v>
      </c>
    </row>
    <row r="11" spans="1:17" ht="14.65" customHeight="1" thickBot="1" x14ac:dyDescent="0.3">
      <c r="B11" s="593"/>
      <c r="C11" s="593"/>
      <c r="D11" s="627"/>
      <c r="E11" s="628"/>
    </row>
    <row r="12" spans="1:17" ht="14.65" customHeight="1" x14ac:dyDescent="0.25">
      <c r="B12" s="128">
        <f>ÜLDANDMED!C11</f>
        <v>2022</v>
      </c>
      <c r="C12" s="76" t="s">
        <v>380</v>
      </c>
      <c r="D12" s="245"/>
      <c r="E12" s="246"/>
    </row>
    <row r="13" spans="1:17" ht="14.65" customHeight="1" x14ac:dyDescent="0.25">
      <c r="B13" s="77"/>
      <c r="C13" s="71" t="s">
        <v>91</v>
      </c>
      <c r="D13" s="398"/>
      <c r="E13" s="395">
        <f>'KHG_OMA SÕIDUKID M1'!D13*kütus_bensiin_sõiduauto_2022/1000</f>
        <v>0</v>
      </c>
    </row>
    <row r="14" spans="1:17" ht="14.65" customHeight="1" x14ac:dyDescent="0.25">
      <c r="B14" s="77"/>
      <c r="C14" s="71" t="s">
        <v>92</v>
      </c>
      <c r="D14" s="398"/>
      <c r="E14" s="395">
        <f>'KHG_OMA SÕIDUKID M1'!D14*kütus_diisel_sõiduauto_2022/1000</f>
        <v>0</v>
      </c>
    </row>
    <row r="15" spans="1:17" ht="14.65" customHeight="1" x14ac:dyDescent="0.25">
      <c r="B15" s="77"/>
      <c r="C15" s="71" t="s">
        <v>93</v>
      </c>
      <c r="D15" s="398"/>
      <c r="E15" s="395">
        <f>'KHG_OMA SÕIDUKID M1'!D15*kütus_bioCNG_sõiduauto_2022/1000</f>
        <v>0</v>
      </c>
    </row>
    <row r="16" spans="1:17" ht="14.65" customHeight="1" x14ac:dyDescent="0.25">
      <c r="B16" s="77"/>
      <c r="C16" s="71" t="s">
        <v>94</v>
      </c>
      <c r="D16" s="398"/>
      <c r="E16" s="395">
        <f>'KHG_OMA SÕIDUKID M1'!D16*kütus_CNG_sõiduauto_2022/1000</f>
        <v>0</v>
      </c>
    </row>
    <row r="17" spans="2:5" ht="14.65" customHeight="1" x14ac:dyDescent="0.25">
      <c r="B17" s="77"/>
      <c r="C17" s="81" t="s">
        <v>95</v>
      </c>
      <c r="D17" s="398"/>
      <c r="E17" s="395">
        <f>'KHG_OMA SÕIDUKID M1'!D17*kütus_taastuvelekter/1000</f>
        <v>0</v>
      </c>
    </row>
    <row r="18" spans="2:5" ht="14.65" customHeight="1" thickBot="1" x14ac:dyDescent="0.3">
      <c r="B18" s="77"/>
      <c r="C18" s="218" t="s">
        <v>96</v>
      </c>
      <c r="D18" s="398"/>
      <c r="E18" s="395">
        <f>'KHG_OMA SÕIDUKID M1'!D18*segajääk_2022/1000</f>
        <v>0</v>
      </c>
    </row>
    <row r="19" spans="2:5" ht="14.65" customHeight="1" x14ac:dyDescent="0.25">
      <c r="B19" s="77"/>
      <c r="C19" s="76" t="s">
        <v>381</v>
      </c>
      <c r="D19" s="248"/>
      <c r="E19" s="396">
        <f>SUM(E13:E16)</f>
        <v>0</v>
      </c>
    </row>
    <row r="20" spans="2:5" ht="14.65" customHeight="1" thickBot="1" x14ac:dyDescent="0.3">
      <c r="B20" s="91"/>
      <c r="C20" s="183" t="s">
        <v>382</v>
      </c>
      <c r="D20" s="249"/>
      <c r="E20" s="397">
        <f>SUM(E17:E18)</f>
        <v>0</v>
      </c>
    </row>
    <row r="21" spans="2:5" ht="14.65" customHeight="1" x14ac:dyDescent="0.25">
      <c r="B21" s="208"/>
      <c r="C21" s="220"/>
      <c r="D21" s="247"/>
    </row>
    <row r="22" spans="2:5" ht="14.65" customHeight="1" thickBot="1" x14ac:dyDescent="0.3">
      <c r="B22" s="208"/>
      <c r="C22" s="220"/>
      <c r="D22" s="247"/>
    </row>
    <row r="23" spans="2:5" ht="14.65" customHeight="1" x14ac:dyDescent="0.25">
      <c r="B23" s="591" t="s">
        <v>9</v>
      </c>
      <c r="C23" s="591" t="s">
        <v>10</v>
      </c>
      <c r="D23" s="626" t="s">
        <v>89</v>
      </c>
      <c r="E23" s="601" t="s">
        <v>90</v>
      </c>
    </row>
    <row r="24" spans="2:5" ht="14.65" customHeight="1" thickBot="1" x14ac:dyDescent="0.3">
      <c r="B24" s="593"/>
      <c r="C24" s="593"/>
      <c r="D24" s="627"/>
      <c r="E24" s="628"/>
    </row>
    <row r="25" spans="2:5" ht="14.65" customHeight="1" x14ac:dyDescent="0.25">
      <c r="B25" s="128">
        <f>ÜLDANDMED!D11</f>
        <v>2023</v>
      </c>
      <c r="C25" s="76" t="s">
        <v>380</v>
      </c>
      <c r="D25" s="245"/>
      <c r="E25" s="246"/>
    </row>
    <row r="26" spans="2:5" ht="14.65" customHeight="1" x14ac:dyDescent="0.25">
      <c r="B26" s="77"/>
      <c r="C26" s="71" t="s">
        <v>91</v>
      </c>
      <c r="D26" s="398"/>
      <c r="E26" s="395">
        <f>'KHG_OMA SÕIDUKID M1'!D26*kütus_bensiin_sõiduauto_2023/1000</f>
        <v>0</v>
      </c>
    </row>
    <row r="27" spans="2:5" ht="14.65" customHeight="1" x14ac:dyDescent="0.25">
      <c r="B27" s="77"/>
      <c r="C27" s="71" t="s">
        <v>92</v>
      </c>
      <c r="D27" s="398"/>
      <c r="E27" s="395">
        <f>'KHG_OMA SÕIDUKID M1'!D27*kütus_diisel_sõiduauto_2023/1000</f>
        <v>0</v>
      </c>
    </row>
    <row r="28" spans="2:5" ht="14.65" customHeight="1" x14ac:dyDescent="0.25">
      <c r="B28" s="77"/>
      <c r="C28" s="71" t="s">
        <v>93</v>
      </c>
      <c r="D28" s="398"/>
      <c r="E28" s="395">
        <f>'KHG_OMA SÕIDUKID M1'!D28*kütus_bioCNG_sõiduauto_2023/1000</f>
        <v>0</v>
      </c>
    </row>
    <row r="29" spans="2:5" ht="14.65" customHeight="1" x14ac:dyDescent="0.25">
      <c r="B29" s="77"/>
      <c r="C29" s="71" t="s">
        <v>94</v>
      </c>
      <c r="D29" s="398"/>
      <c r="E29" s="395">
        <f>'KHG_OMA SÕIDUKID M1'!D29*kütus_CNG_sõiduauto_2023/1000</f>
        <v>0</v>
      </c>
    </row>
    <row r="30" spans="2:5" ht="14.65" customHeight="1" x14ac:dyDescent="0.25">
      <c r="B30" s="77"/>
      <c r="C30" s="81" t="s">
        <v>95</v>
      </c>
      <c r="D30" s="398"/>
      <c r="E30" s="395">
        <f>'KHG_OMA SÕIDUKID M1'!D30*kütus_taastuvelekter/1000</f>
        <v>0</v>
      </c>
    </row>
    <row r="31" spans="2:5" ht="14.65" customHeight="1" thickBot="1" x14ac:dyDescent="0.3">
      <c r="B31" s="77"/>
      <c r="C31" s="218" t="s">
        <v>96</v>
      </c>
      <c r="D31" s="398"/>
      <c r="E31" s="395">
        <f>'KHG_OMA SÕIDUKID M1'!D31*segajääk_2023/1000</f>
        <v>0</v>
      </c>
    </row>
    <row r="32" spans="2:5" ht="14.65" customHeight="1" x14ac:dyDescent="0.25">
      <c r="B32" s="77"/>
      <c r="C32" s="76" t="s">
        <v>381</v>
      </c>
      <c r="D32" s="248"/>
      <c r="E32" s="396">
        <f>SUM(E26:E29)</f>
        <v>0</v>
      </c>
    </row>
    <row r="33" spans="2:5" ht="14.65" customHeight="1" thickBot="1" x14ac:dyDescent="0.3">
      <c r="B33" s="91"/>
      <c r="C33" s="183" t="s">
        <v>382</v>
      </c>
      <c r="D33" s="249"/>
      <c r="E33" s="397">
        <f>SUM(E30:E31)</f>
        <v>0</v>
      </c>
    </row>
    <row r="34" spans="2:5" ht="14.65" customHeight="1" x14ac:dyDescent="0.25">
      <c r="B34" s="208"/>
      <c r="C34" s="220"/>
      <c r="D34" s="247"/>
      <c r="E34" s="250"/>
    </row>
    <row r="35" spans="2:5" ht="14.65" customHeight="1" thickBot="1" x14ac:dyDescent="0.3">
      <c r="B35" s="208"/>
      <c r="C35" s="220"/>
      <c r="D35" s="247"/>
    </row>
    <row r="36" spans="2:5" ht="14.65" customHeight="1" x14ac:dyDescent="0.25">
      <c r="B36" s="591" t="s">
        <v>9</v>
      </c>
      <c r="C36" s="591" t="s">
        <v>10</v>
      </c>
      <c r="D36" s="626" t="s">
        <v>89</v>
      </c>
      <c r="E36" s="601" t="s">
        <v>90</v>
      </c>
    </row>
    <row r="37" spans="2:5" ht="14.65" customHeight="1" thickBot="1" x14ac:dyDescent="0.3">
      <c r="B37" s="593"/>
      <c r="C37" s="593"/>
      <c r="D37" s="627"/>
      <c r="E37" s="628"/>
    </row>
    <row r="38" spans="2:5" ht="14.65" customHeight="1" x14ac:dyDescent="0.25">
      <c r="B38" s="128">
        <f>ÜLDANDMED!E11</f>
        <v>2024</v>
      </c>
      <c r="C38" s="76" t="s">
        <v>380</v>
      </c>
      <c r="D38" s="245"/>
      <c r="E38" s="246"/>
    </row>
    <row r="39" spans="2:5" ht="14.65" customHeight="1" x14ac:dyDescent="0.25">
      <c r="B39" s="77"/>
      <c r="C39" s="71" t="s">
        <v>91</v>
      </c>
      <c r="D39" s="398"/>
      <c r="E39" s="395">
        <f>'KHG_OMA SÕIDUKID M1'!D39*kütus_bensiin_sõiduauto_2024/1000</f>
        <v>0</v>
      </c>
    </row>
    <row r="40" spans="2:5" ht="14.65" customHeight="1" x14ac:dyDescent="0.25">
      <c r="B40" s="77"/>
      <c r="C40" s="71" t="s">
        <v>92</v>
      </c>
      <c r="D40" s="398"/>
      <c r="E40" s="395">
        <f>'KHG_OMA SÕIDUKID M1'!D40*kütus_diisel_sõiduauto_2024/1000</f>
        <v>0</v>
      </c>
    </row>
    <row r="41" spans="2:5" ht="14.65" customHeight="1" x14ac:dyDescent="0.25">
      <c r="B41" s="77"/>
      <c r="C41" s="71" t="s">
        <v>93</v>
      </c>
      <c r="D41" s="398"/>
      <c r="E41" s="395">
        <f>'KHG_OMA SÕIDUKID M1'!D41*kütus_bioCNG_sõiduauto_2024/1000</f>
        <v>0</v>
      </c>
    </row>
    <row r="42" spans="2:5" ht="14.65" customHeight="1" x14ac:dyDescent="0.25">
      <c r="B42" s="77"/>
      <c r="C42" s="71" t="s">
        <v>94</v>
      </c>
      <c r="D42" s="398"/>
      <c r="E42" s="395">
        <f>'KHG_OMA SÕIDUKID M1'!D42*kütus_CNG_sõiduauto_2024/1000</f>
        <v>0</v>
      </c>
    </row>
    <row r="43" spans="2:5" ht="14.65" customHeight="1" x14ac:dyDescent="0.25">
      <c r="B43" s="77"/>
      <c r="C43" s="81" t="s">
        <v>95</v>
      </c>
      <c r="D43" s="398"/>
      <c r="E43" s="395">
        <f>'KHG_OMA SÕIDUKID M1'!D43*kütus_taastuvelekter/1000</f>
        <v>0</v>
      </c>
    </row>
    <row r="44" spans="2:5" ht="14.65" customHeight="1" thickBot="1" x14ac:dyDescent="0.3">
      <c r="B44" s="77"/>
      <c r="C44" s="218" t="s">
        <v>96</v>
      </c>
      <c r="D44" s="398"/>
      <c r="E44" s="395">
        <f>'KHG_OMA SÕIDUKID M1'!D44*segajääk_2024/1000</f>
        <v>0</v>
      </c>
    </row>
    <row r="45" spans="2:5" ht="14.65" customHeight="1" x14ac:dyDescent="0.25">
      <c r="B45" s="77"/>
      <c r="C45" s="76" t="s">
        <v>381</v>
      </c>
      <c r="D45" s="248"/>
      <c r="E45" s="396">
        <f>SUM(E39:E42)</f>
        <v>0</v>
      </c>
    </row>
    <row r="46" spans="2:5" ht="14.65" customHeight="1" thickBot="1" x14ac:dyDescent="0.3">
      <c r="B46" s="91"/>
      <c r="C46" s="183" t="s">
        <v>382</v>
      </c>
      <c r="D46" s="249"/>
      <c r="E46" s="397">
        <f>SUM(E43:E44)</f>
        <v>0</v>
      </c>
    </row>
    <row r="47" spans="2:5" ht="14.65" customHeight="1" x14ac:dyDescent="0.25">
      <c r="B47" s="208"/>
      <c r="C47" s="220"/>
      <c r="D47" s="247"/>
      <c r="E47" s="250"/>
    </row>
    <row r="48" spans="2:5" ht="14.65" customHeight="1" thickBot="1" x14ac:dyDescent="0.3">
      <c r="B48" s="208"/>
      <c r="C48" s="220"/>
      <c r="D48" s="247"/>
    </row>
    <row r="49" spans="2:5" ht="14.65" customHeight="1" x14ac:dyDescent="0.25">
      <c r="B49" s="591" t="s">
        <v>9</v>
      </c>
      <c r="C49" s="591" t="s">
        <v>10</v>
      </c>
      <c r="D49" s="626" t="s">
        <v>89</v>
      </c>
      <c r="E49" s="601" t="s">
        <v>90</v>
      </c>
    </row>
    <row r="50" spans="2:5" ht="14.65" customHeight="1" thickBot="1" x14ac:dyDescent="0.3">
      <c r="B50" s="593"/>
      <c r="C50" s="593"/>
      <c r="D50" s="627"/>
      <c r="E50" s="628"/>
    </row>
    <row r="51" spans="2:5" ht="14.65" customHeight="1" x14ac:dyDescent="0.25">
      <c r="B51" s="128">
        <f>ÜLDANDMED!F11</f>
        <v>2025</v>
      </c>
      <c r="C51" s="76" t="s">
        <v>380</v>
      </c>
      <c r="D51" s="245"/>
      <c r="E51" s="246"/>
    </row>
    <row r="52" spans="2:5" ht="14.65" customHeight="1" x14ac:dyDescent="0.25">
      <c r="B52" s="77"/>
      <c r="C52" s="71" t="s">
        <v>91</v>
      </c>
      <c r="D52" s="398"/>
      <c r="E52" s="395">
        <f>'KHG_OMA SÕIDUKID M1'!D52*kütus_bensiin_sõiduauto_2025/1000</f>
        <v>0</v>
      </c>
    </row>
    <row r="53" spans="2:5" ht="14.65" customHeight="1" x14ac:dyDescent="0.25">
      <c r="B53" s="77"/>
      <c r="C53" s="71" t="s">
        <v>92</v>
      </c>
      <c r="D53" s="398"/>
      <c r="E53" s="395">
        <f>'KHG_OMA SÕIDUKID M1'!D53*kütus_diisel_sõiduauto_2025/1000</f>
        <v>0</v>
      </c>
    </row>
    <row r="54" spans="2:5" ht="14.65" customHeight="1" x14ac:dyDescent="0.25">
      <c r="B54" s="77"/>
      <c r="C54" s="71" t="s">
        <v>93</v>
      </c>
      <c r="D54" s="398"/>
      <c r="E54" s="395">
        <f>'KHG_OMA SÕIDUKID M1'!D54*kütus_bioCNG_sõiduauto_2025/1000</f>
        <v>0</v>
      </c>
    </row>
    <row r="55" spans="2:5" ht="14.65" customHeight="1" x14ac:dyDescent="0.25">
      <c r="B55" s="77"/>
      <c r="C55" s="71" t="s">
        <v>94</v>
      </c>
      <c r="D55" s="398"/>
      <c r="E55" s="395">
        <f>'KHG_OMA SÕIDUKID M1'!D55*kütus_CNG_sõiduauto_2025/1000</f>
        <v>0</v>
      </c>
    </row>
    <row r="56" spans="2:5" ht="14.65" customHeight="1" x14ac:dyDescent="0.25">
      <c r="B56" s="77"/>
      <c r="C56" s="81" t="s">
        <v>95</v>
      </c>
      <c r="D56" s="398"/>
      <c r="E56" s="395">
        <f>'KHG_OMA SÕIDUKID M1'!D56*kütus_taastuvelekter/1000</f>
        <v>0</v>
      </c>
    </row>
    <row r="57" spans="2:5" ht="14.65" customHeight="1" thickBot="1" x14ac:dyDescent="0.3">
      <c r="B57" s="77"/>
      <c r="C57" s="218" t="s">
        <v>96</v>
      </c>
      <c r="D57" s="398"/>
      <c r="E57" s="395">
        <f>'KHG_OMA SÕIDUKID M1'!D57*segajääk_2025/1000</f>
        <v>0</v>
      </c>
    </row>
    <row r="58" spans="2:5" ht="14.65" customHeight="1" x14ac:dyDescent="0.25">
      <c r="B58" s="77"/>
      <c r="C58" s="76" t="s">
        <v>381</v>
      </c>
      <c r="D58" s="248"/>
      <c r="E58" s="396">
        <f>SUM(E52:E55)</f>
        <v>0</v>
      </c>
    </row>
    <row r="59" spans="2:5" ht="14.65" customHeight="1" thickBot="1" x14ac:dyDescent="0.3">
      <c r="B59" s="91"/>
      <c r="C59" s="183" t="s">
        <v>382</v>
      </c>
      <c r="D59" s="249"/>
      <c r="E59" s="397">
        <f>SUM(E56:E57)</f>
        <v>0</v>
      </c>
    </row>
    <row r="60" spans="2:5" ht="14.65" customHeight="1" x14ac:dyDescent="0.25">
      <c r="C60"/>
      <c r="D60"/>
    </row>
    <row r="61" spans="2:5" ht="14.65" customHeight="1" thickBot="1" x14ac:dyDescent="0.3">
      <c r="C61"/>
      <c r="D61"/>
    </row>
    <row r="62" spans="2:5" ht="14.65" customHeight="1" x14ac:dyDescent="0.25">
      <c r="B62" s="591" t="s">
        <v>9</v>
      </c>
      <c r="C62" s="591" t="s">
        <v>10</v>
      </c>
      <c r="D62" s="626" t="s">
        <v>89</v>
      </c>
      <c r="E62" s="601" t="s">
        <v>90</v>
      </c>
    </row>
    <row r="63" spans="2:5" ht="14.65" customHeight="1" thickBot="1" x14ac:dyDescent="0.3">
      <c r="B63" s="593"/>
      <c r="C63" s="593"/>
      <c r="D63" s="627"/>
      <c r="E63" s="628"/>
    </row>
    <row r="64" spans="2:5" ht="14.65" customHeight="1" x14ac:dyDescent="0.25">
      <c r="B64" s="128">
        <f>ÜLDANDMED!G11</f>
        <v>2026</v>
      </c>
      <c r="C64" s="76" t="s">
        <v>380</v>
      </c>
      <c r="D64" s="245"/>
      <c r="E64" s="246"/>
    </row>
    <row r="65" spans="2:5" ht="14.65" customHeight="1" x14ac:dyDescent="0.25">
      <c r="B65" s="77"/>
      <c r="C65" s="71" t="s">
        <v>91</v>
      </c>
      <c r="D65" s="398"/>
      <c r="E65" s="395">
        <f>'KHG_OMA SÕIDUKID M1'!D65*kütus_bensiin_sõiduauto_2026/1000</f>
        <v>0</v>
      </c>
    </row>
    <row r="66" spans="2:5" ht="14.65" customHeight="1" x14ac:dyDescent="0.25">
      <c r="B66" s="77"/>
      <c r="C66" s="71" t="s">
        <v>92</v>
      </c>
      <c r="D66" s="398"/>
      <c r="E66" s="395">
        <f>'KHG_OMA SÕIDUKID M1'!D66*kütus_diisel_sõiduauto_2026/1000</f>
        <v>0</v>
      </c>
    </row>
    <row r="67" spans="2:5" ht="14.65" customHeight="1" x14ac:dyDescent="0.25">
      <c r="B67" s="77"/>
      <c r="C67" s="71" t="s">
        <v>93</v>
      </c>
      <c r="D67" s="398"/>
      <c r="E67" s="395">
        <f>'KHG_OMA SÕIDUKID M1'!D67*kütus_bioCNG_sõiduauto_2026/1000</f>
        <v>0</v>
      </c>
    </row>
    <row r="68" spans="2:5" ht="14.65" customHeight="1" x14ac:dyDescent="0.25">
      <c r="B68" s="77"/>
      <c r="C68" s="71" t="s">
        <v>94</v>
      </c>
      <c r="D68" s="398"/>
      <c r="E68" s="395">
        <f>'KHG_OMA SÕIDUKID M1'!D68*kütus_CNG_sõiduauto_2026/1000</f>
        <v>0</v>
      </c>
    </row>
    <row r="69" spans="2:5" ht="14.65" customHeight="1" x14ac:dyDescent="0.25">
      <c r="B69" s="77"/>
      <c r="C69" s="81" t="s">
        <v>95</v>
      </c>
      <c r="D69" s="398"/>
      <c r="E69" s="395">
        <f>'KHG_OMA SÕIDUKID M1'!D69*kütus_taastuvelekter/1000</f>
        <v>0</v>
      </c>
    </row>
    <row r="70" spans="2:5" ht="14.65" customHeight="1" thickBot="1" x14ac:dyDescent="0.3">
      <c r="B70" s="77"/>
      <c r="C70" s="218" t="s">
        <v>96</v>
      </c>
      <c r="D70" s="398"/>
      <c r="E70" s="395">
        <f>'KHG_OMA SÕIDUKID M1'!D70*segajääk_2026/1000</f>
        <v>0</v>
      </c>
    </row>
    <row r="71" spans="2:5" ht="14.65" customHeight="1" x14ac:dyDescent="0.25">
      <c r="B71" s="77"/>
      <c r="C71" s="76" t="s">
        <v>381</v>
      </c>
      <c r="D71" s="248"/>
      <c r="E71" s="396">
        <f>SUM(E65:E68)</f>
        <v>0</v>
      </c>
    </row>
    <row r="72" spans="2:5" ht="14.65" customHeight="1" thickBot="1" x14ac:dyDescent="0.3">
      <c r="B72" s="91"/>
      <c r="C72" s="183" t="s">
        <v>382</v>
      </c>
      <c r="D72" s="249"/>
      <c r="E72" s="397">
        <f>SUM(E69:E70)</f>
        <v>0</v>
      </c>
    </row>
    <row r="73" spans="2:5" ht="14.65" customHeight="1" x14ac:dyDescent="0.25">
      <c r="B73" s="208"/>
      <c r="C73" s="220"/>
      <c r="D73" s="247"/>
    </row>
    <row r="74" spans="2:5" ht="14.65" customHeight="1" thickBot="1" x14ac:dyDescent="0.3">
      <c r="B74" s="208"/>
      <c r="C74" s="220"/>
      <c r="D74" s="247"/>
    </row>
    <row r="75" spans="2:5" ht="14.65" customHeight="1" x14ac:dyDescent="0.25">
      <c r="B75" s="591" t="s">
        <v>9</v>
      </c>
      <c r="C75" s="591" t="s">
        <v>10</v>
      </c>
      <c r="D75" s="626" t="s">
        <v>89</v>
      </c>
      <c r="E75" s="601" t="s">
        <v>90</v>
      </c>
    </row>
    <row r="76" spans="2:5" ht="14.65" customHeight="1" thickBot="1" x14ac:dyDescent="0.3">
      <c r="B76" s="593"/>
      <c r="C76" s="593"/>
      <c r="D76" s="627"/>
      <c r="E76" s="628"/>
    </row>
    <row r="77" spans="2:5" ht="14.65" customHeight="1" x14ac:dyDescent="0.25">
      <c r="B77" s="128">
        <f>ÜLDANDMED!H11</f>
        <v>2027</v>
      </c>
      <c r="C77" s="76" t="s">
        <v>380</v>
      </c>
      <c r="D77" s="245"/>
      <c r="E77" s="246"/>
    </row>
    <row r="78" spans="2:5" ht="14.65" customHeight="1" x14ac:dyDescent="0.25">
      <c r="B78" s="77"/>
      <c r="C78" s="71" t="s">
        <v>91</v>
      </c>
      <c r="D78" s="398"/>
      <c r="E78" s="395">
        <f>'KHG_OMA SÕIDUKID M1'!D78*kütus_bensiin_sõiduauto_2027/1000</f>
        <v>0</v>
      </c>
    </row>
    <row r="79" spans="2:5" ht="14.65" customHeight="1" x14ac:dyDescent="0.25">
      <c r="B79" s="77"/>
      <c r="C79" s="71" t="s">
        <v>92</v>
      </c>
      <c r="D79" s="398"/>
      <c r="E79" s="395">
        <f>'KHG_OMA SÕIDUKID M1'!D79*kütus_diisel_sõiduauto_2027/1000</f>
        <v>0</v>
      </c>
    </row>
    <row r="80" spans="2:5" ht="14.65" customHeight="1" x14ac:dyDescent="0.25">
      <c r="B80" s="77"/>
      <c r="C80" s="71" t="s">
        <v>93</v>
      </c>
      <c r="D80" s="398"/>
      <c r="E80" s="395">
        <f>'KHG_OMA SÕIDUKID M1'!D80*kütus_bioCNG_sõiduauto_2027/1000</f>
        <v>0</v>
      </c>
    </row>
    <row r="81" spans="2:5" ht="14.65" customHeight="1" x14ac:dyDescent="0.25">
      <c r="B81" s="77"/>
      <c r="C81" s="71" t="s">
        <v>94</v>
      </c>
      <c r="D81" s="398"/>
      <c r="E81" s="395">
        <f>'KHG_OMA SÕIDUKID M1'!D81*kütus_CNG_sõiduauto_2027/1000</f>
        <v>0</v>
      </c>
    </row>
    <row r="82" spans="2:5" ht="14.65" customHeight="1" x14ac:dyDescent="0.25">
      <c r="B82" s="77"/>
      <c r="C82" s="81" t="s">
        <v>95</v>
      </c>
      <c r="D82" s="398"/>
      <c r="E82" s="395">
        <f>'KHG_OMA SÕIDUKID M1'!D82*kütus_taastuvelekter/1000</f>
        <v>0</v>
      </c>
    </row>
    <row r="83" spans="2:5" ht="14.65" customHeight="1" thickBot="1" x14ac:dyDescent="0.3">
      <c r="B83" s="77"/>
      <c r="C83" s="218" t="s">
        <v>96</v>
      </c>
      <c r="D83" s="398"/>
      <c r="E83" s="395">
        <f>'KHG_OMA SÕIDUKID M1'!D83*segajääk_2027/1000</f>
        <v>0</v>
      </c>
    </row>
    <row r="84" spans="2:5" ht="14.65" customHeight="1" x14ac:dyDescent="0.25">
      <c r="B84" s="77"/>
      <c r="C84" s="76" t="s">
        <v>381</v>
      </c>
      <c r="D84" s="248"/>
      <c r="E84" s="396">
        <f>SUM(E78:E81)</f>
        <v>0</v>
      </c>
    </row>
    <row r="85" spans="2:5" ht="14.65" customHeight="1" thickBot="1" x14ac:dyDescent="0.3">
      <c r="B85" s="91"/>
      <c r="C85" s="183" t="s">
        <v>382</v>
      </c>
      <c r="D85" s="249"/>
      <c r="E85" s="397">
        <f>SUM(E82:E83)</f>
        <v>0</v>
      </c>
    </row>
    <row r="86" spans="2:5" ht="14.65" customHeight="1" x14ac:dyDescent="0.25">
      <c r="B86" s="208"/>
      <c r="C86" s="220"/>
      <c r="D86" s="247"/>
    </row>
    <row r="87" spans="2:5" ht="14.65" customHeight="1" thickBot="1" x14ac:dyDescent="0.3">
      <c r="B87" s="208"/>
      <c r="C87" s="220"/>
      <c r="D87" s="247"/>
    </row>
    <row r="88" spans="2:5" ht="14.65" customHeight="1" x14ac:dyDescent="0.25">
      <c r="B88" s="591" t="s">
        <v>9</v>
      </c>
      <c r="C88" s="591" t="s">
        <v>10</v>
      </c>
      <c r="D88" s="626" t="s">
        <v>89</v>
      </c>
      <c r="E88" s="601" t="s">
        <v>90</v>
      </c>
    </row>
    <row r="89" spans="2:5" ht="14.65" customHeight="1" thickBot="1" x14ac:dyDescent="0.3">
      <c r="B89" s="593"/>
      <c r="C89" s="593"/>
      <c r="D89" s="627"/>
      <c r="E89" s="628"/>
    </row>
    <row r="90" spans="2:5" ht="14.65" customHeight="1" x14ac:dyDescent="0.25">
      <c r="B90" s="128">
        <f>ÜLDANDMED!I11</f>
        <v>2028</v>
      </c>
      <c r="C90" s="76" t="s">
        <v>380</v>
      </c>
      <c r="D90" s="245"/>
      <c r="E90" s="246"/>
    </row>
    <row r="91" spans="2:5" ht="14.65" customHeight="1" x14ac:dyDescent="0.25">
      <c r="B91" s="77"/>
      <c r="C91" s="71" t="s">
        <v>91</v>
      </c>
      <c r="D91" s="398"/>
      <c r="E91" s="395">
        <f>'KHG_OMA SÕIDUKID M1'!D91*kütus_bensiin_sõiduauto_2028/1000</f>
        <v>0</v>
      </c>
    </row>
    <row r="92" spans="2:5" ht="14.65" customHeight="1" x14ac:dyDescent="0.25">
      <c r="B92" s="77"/>
      <c r="C92" s="71" t="s">
        <v>92</v>
      </c>
      <c r="D92" s="398"/>
      <c r="E92" s="395">
        <f>'KHG_OMA SÕIDUKID M1'!D92*kütus_diisel_sõiduauto_2028/1000</f>
        <v>0</v>
      </c>
    </row>
    <row r="93" spans="2:5" ht="14.65" customHeight="1" x14ac:dyDescent="0.25">
      <c r="B93" s="77"/>
      <c r="C93" s="71" t="s">
        <v>93</v>
      </c>
      <c r="D93" s="398"/>
      <c r="E93" s="395">
        <f>'KHG_OMA SÕIDUKID M1'!D93*kütus_bioCNG_sõiduauto_2028/1000</f>
        <v>0</v>
      </c>
    </row>
    <row r="94" spans="2:5" ht="14.65" customHeight="1" x14ac:dyDescent="0.25">
      <c r="B94" s="77"/>
      <c r="C94" s="71" t="s">
        <v>94</v>
      </c>
      <c r="D94" s="398"/>
      <c r="E94" s="395">
        <f>'KHG_OMA SÕIDUKID M1'!D94*kütus_CNG_sõiduauto_2028/1000</f>
        <v>0</v>
      </c>
    </row>
    <row r="95" spans="2:5" ht="14.65" customHeight="1" x14ac:dyDescent="0.25">
      <c r="B95" s="77"/>
      <c r="C95" s="81" t="s">
        <v>95</v>
      </c>
      <c r="D95" s="398"/>
      <c r="E95" s="395">
        <f>'KHG_OMA SÕIDUKID M1'!D95*kütus_taastuvelekter/1000</f>
        <v>0</v>
      </c>
    </row>
    <row r="96" spans="2:5" ht="14.65" customHeight="1" thickBot="1" x14ac:dyDescent="0.3">
      <c r="B96" s="77"/>
      <c r="C96" s="218" t="s">
        <v>96</v>
      </c>
      <c r="D96" s="398"/>
      <c r="E96" s="395">
        <f>'KHG_OMA SÕIDUKID M1'!D96*segajääk_2028/1000</f>
        <v>0</v>
      </c>
    </row>
    <row r="97" spans="2:5" ht="14.65" customHeight="1" x14ac:dyDescent="0.25">
      <c r="B97" s="77"/>
      <c r="C97" s="76" t="s">
        <v>381</v>
      </c>
      <c r="D97" s="248"/>
      <c r="E97" s="396">
        <f>SUM(E91:E94)</f>
        <v>0</v>
      </c>
    </row>
    <row r="98" spans="2:5" ht="14.65" customHeight="1" thickBot="1" x14ac:dyDescent="0.3">
      <c r="B98" s="91"/>
      <c r="C98" s="183" t="s">
        <v>382</v>
      </c>
      <c r="D98" s="249"/>
      <c r="E98" s="397">
        <f>SUM(E95:E96)</f>
        <v>0</v>
      </c>
    </row>
    <row r="99" spans="2:5" ht="14.65" customHeight="1" x14ac:dyDescent="0.25">
      <c r="B99" s="208"/>
      <c r="C99" s="220"/>
      <c r="D99" s="247"/>
    </row>
    <row r="100" spans="2:5" ht="14.65" customHeight="1" x14ac:dyDescent="0.25">
      <c r="C100"/>
      <c r="D100"/>
    </row>
    <row r="101" spans="2:5" ht="14.65" customHeight="1" x14ac:dyDescent="0.25">
      <c r="C101"/>
      <c r="D101"/>
    </row>
  </sheetData>
  <mergeCells count="29">
    <mergeCell ref="B75:B76"/>
    <mergeCell ref="C75:C76"/>
    <mergeCell ref="D75:D76"/>
    <mergeCell ref="E75:E76"/>
    <mergeCell ref="B88:B89"/>
    <mergeCell ref="C88:C89"/>
    <mergeCell ref="D88:D89"/>
    <mergeCell ref="E88:E89"/>
    <mergeCell ref="B49:B50"/>
    <mergeCell ref="C49:C50"/>
    <mergeCell ref="D49:D50"/>
    <mergeCell ref="E49:E50"/>
    <mergeCell ref="B62:B63"/>
    <mergeCell ref="C62:C63"/>
    <mergeCell ref="D62:D63"/>
    <mergeCell ref="E62:E63"/>
    <mergeCell ref="B23:B24"/>
    <mergeCell ref="C23:C24"/>
    <mergeCell ref="D23:D24"/>
    <mergeCell ref="E23:E24"/>
    <mergeCell ref="B36:B37"/>
    <mergeCell ref="C36:C37"/>
    <mergeCell ref="D36:D37"/>
    <mergeCell ref="E36:E37"/>
    <mergeCell ref="B10:B11"/>
    <mergeCell ref="C10:C11"/>
    <mergeCell ref="D10:D11"/>
    <mergeCell ref="E10:E11"/>
    <mergeCell ref="B4:E4"/>
  </mergeCells>
  <phoneticPr fontId="43" type="noConversion"/>
  <pageMargins left="0.70866141732283472" right="0.70866141732283472" top="0.74803149606299213" bottom="0.74803149606299213" header="0.31496062992125984" footer="0.31496062992125984"/>
  <pageSetup scale="94" fitToHeight="2"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B2A1C-94DE-4C21-81D0-2D7FDCF63A0F}">
  <sheetPr>
    <tabColor rgb="FFFB8604"/>
    <pageSetUpPr fitToPage="1"/>
  </sheetPr>
  <dimension ref="A2:S141"/>
  <sheetViews>
    <sheetView showGridLines="0" zoomScaleNormal="100" workbookViewId="0">
      <pane xSplit="1" ySplit="2" topLeftCell="B3" activePane="bottomRight" state="frozen"/>
      <selection pane="topRight" activeCell="B1" sqref="B1"/>
      <selection pane="bottomLeft" activeCell="A3" sqref="A3"/>
      <selection pane="bottomRight" activeCell="D35" sqref="D35"/>
    </sheetView>
  </sheetViews>
  <sheetFormatPr defaultRowHeight="14.65" customHeight="1" x14ac:dyDescent="0.25"/>
  <cols>
    <col min="1" max="1" width="2.5703125" customWidth="1"/>
    <col min="2" max="2" width="7.5703125" customWidth="1"/>
    <col min="3" max="3" width="31.42578125" style="3" customWidth="1"/>
    <col min="4" max="4" width="18.5703125" style="68" customWidth="1"/>
    <col min="5" max="5" width="15.7109375" customWidth="1"/>
    <col min="6" max="6" width="15.7109375" style="3" customWidth="1"/>
  </cols>
  <sheetData>
    <row r="2" spans="1:19" ht="18.600000000000001" customHeight="1" x14ac:dyDescent="0.35">
      <c r="B2" s="28" t="s">
        <v>97</v>
      </c>
      <c r="C2" s="78"/>
    </row>
    <row r="3" spans="1:19" ht="14.65" customHeight="1" x14ac:dyDescent="0.3">
      <c r="B3" s="22"/>
      <c r="C3" s="79"/>
    </row>
    <row r="4" spans="1:19" ht="153" customHeight="1" x14ac:dyDescent="0.25">
      <c r="B4" s="635" t="s">
        <v>373</v>
      </c>
      <c r="C4" s="636"/>
      <c r="D4" s="636"/>
      <c r="E4" s="636"/>
      <c r="F4" s="636"/>
      <c r="G4" s="636"/>
      <c r="H4" s="636"/>
      <c r="I4" s="636"/>
      <c r="J4" s="636"/>
      <c r="K4" s="637"/>
    </row>
    <row r="5" spans="1:19" ht="14.65" customHeight="1" x14ac:dyDescent="0.25">
      <c r="B5" s="165"/>
    </row>
    <row r="6" spans="1:19" ht="14.65" customHeight="1" x14ac:dyDescent="0.25">
      <c r="B6" s="60" t="s">
        <v>2</v>
      </c>
      <c r="C6" s="80"/>
    </row>
    <row r="7" spans="1:19" ht="14.65" customHeight="1" x14ac:dyDescent="0.25">
      <c r="A7" s="1"/>
      <c r="C7" s="357" t="s">
        <v>31</v>
      </c>
      <c r="D7" s="30"/>
      <c r="E7" s="30"/>
      <c r="G7" s="3"/>
      <c r="H7" s="3"/>
      <c r="I7" s="3"/>
      <c r="J7" s="3"/>
      <c r="K7" s="3"/>
      <c r="L7" s="3"/>
      <c r="M7" s="3"/>
      <c r="N7" s="3"/>
      <c r="O7" s="3"/>
      <c r="P7" s="55"/>
      <c r="S7" s="66"/>
    </row>
    <row r="8" spans="1:19" ht="14.65" customHeight="1" x14ac:dyDescent="0.25">
      <c r="C8" s="378" t="s">
        <v>3</v>
      </c>
    </row>
    <row r="9" spans="1:19" ht="14.65" customHeight="1" x14ac:dyDescent="0.25">
      <c r="A9" s="1"/>
      <c r="B9" s="3"/>
      <c r="C9" s="340" t="s">
        <v>4</v>
      </c>
      <c r="D9" s="24"/>
      <c r="E9" s="3"/>
      <c r="G9" s="24"/>
      <c r="H9" s="24"/>
      <c r="I9" s="24"/>
      <c r="J9" s="24"/>
      <c r="K9" s="24"/>
      <c r="L9" s="24"/>
      <c r="M9" s="24"/>
      <c r="N9" s="24"/>
      <c r="O9" s="24"/>
      <c r="P9" s="57"/>
      <c r="Q9" s="18"/>
    </row>
    <row r="10" spans="1:19" ht="14.65" customHeight="1" thickBot="1" x14ac:dyDescent="0.3"/>
    <row r="11" spans="1:19" ht="14.65" customHeight="1" x14ac:dyDescent="0.25">
      <c r="B11" s="591" t="s">
        <v>9</v>
      </c>
      <c r="C11" s="591" t="s">
        <v>10</v>
      </c>
      <c r="D11" s="629" t="s">
        <v>98</v>
      </c>
      <c r="E11" s="632" t="s">
        <v>99</v>
      </c>
      <c r="F11" s="601" t="s">
        <v>90</v>
      </c>
    </row>
    <row r="12" spans="1:19" ht="14.65" customHeight="1" x14ac:dyDescent="0.25">
      <c r="B12" s="592"/>
      <c r="C12" s="592"/>
      <c r="D12" s="630"/>
      <c r="E12" s="633"/>
      <c r="F12" s="602"/>
    </row>
    <row r="13" spans="1:19" ht="14.65" customHeight="1" x14ac:dyDescent="0.25">
      <c r="B13" s="592"/>
      <c r="C13" s="592"/>
      <c r="D13" s="630"/>
      <c r="E13" s="633"/>
      <c r="F13" s="602"/>
    </row>
    <row r="14" spans="1:19" ht="14.65" customHeight="1" thickBot="1" x14ac:dyDescent="0.3">
      <c r="B14" s="593"/>
      <c r="C14" s="593"/>
      <c r="D14" s="631"/>
      <c r="E14" s="634"/>
      <c r="F14" s="628"/>
    </row>
    <row r="15" spans="1:19" ht="14.65" customHeight="1" x14ac:dyDescent="0.25">
      <c r="B15" s="128">
        <f>ÜLDANDMED!C11</f>
        <v>2022</v>
      </c>
      <c r="C15" s="181" t="s">
        <v>100</v>
      </c>
      <c r="D15" s="164"/>
      <c r="E15" s="192"/>
      <c r="F15" s="244"/>
    </row>
    <row r="16" spans="1:19" ht="14.65" customHeight="1" x14ac:dyDescent="0.25">
      <c r="B16" s="77"/>
      <c r="C16" s="399"/>
      <c r="D16" s="402"/>
      <c r="E16" s="408" t="e">
        <f>LOOKUP(C16,'KHG eriheitetegurid'!$B$148:$B$158,'KHG eriheitetegurid'!$D$148:$D$158)</f>
        <v>#N/A</v>
      </c>
      <c r="F16" s="409" t="str">
        <f>_xlfn.IFNA(D16*E16/1000,"")</f>
        <v/>
      </c>
      <c r="G16" s="93"/>
    </row>
    <row r="17" spans="2:6" ht="14.65" customHeight="1" x14ac:dyDescent="0.25">
      <c r="B17" s="77"/>
      <c r="C17" s="399"/>
      <c r="D17" s="402"/>
      <c r="E17" s="408" t="e">
        <f>LOOKUP(C17,'KHG eriheitetegurid'!$B$148:$B$158,'KHG eriheitetegurid'!$D$148:$D$158)</f>
        <v>#N/A</v>
      </c>
      <c r="F17" s="409" t="str">
        <f t="shared" ref="F17:F115" si="0">_xlfn.IFNA(D17*E17/1000,"")</f>
        <v/>
      </c>
    </row>
    <row r="18" spans="2:6" ht="14.65" customHeight="1" x14ac:dyDescent="0.25">
      <c r="B18" s="77"/>
      <c r="C18" s="399"/>
      <c r="D18" s="402"/>
      <c r="E18" s="408" t="e">
        <f>LOOKUP(C18,'KHG eriheitetegurid'!$B$148:$B$158,'KHG eriheitetegurid'!$D$148:$D$158)</f>
        <v>#N/A</v>
      </c>
      <c r="F18" s="409" t="str">
        <f t="shared" si="0"/>
        <v/>
      </c>
    </row>
    <row r="19" spans="2:6" ht="14.65" customHeight="1" x14ac:dyDescent="0.25">
      <c r="B19" s="77"/>
      <c r="C19" s="399"/>
      <c r="D19" s="402"/>
      <c r="E19" s="408" t="e">
        <f>LOOKUP(C19,'KHG eriheitetegurid'!$B$148:$B$158,'KHG eriheitetegurid'!$D$148:$D$158)</f>
        <v>#N/A</v>
      </c>
      <c r="F19" s="409" t="str">
        <f t="shared" si="0"/>
        <v/>
      </c>
    </row>
    <row r="20" spans="2:6" ht="14.65" customHeight="1" x14ac:dyDescent="0.25">
      <c r="B20" s="77"/>
      <c r="C20" s="399"/>
      <c r="D20" s="402"/>
      <c r="E20" s="408" t="e">
        <f>LOOKUP(C20,'KHG eriheitetegurid'!$B$148:$B$158,'KHG eriheitetegurid'!$D$148:$D$158)</f>
        <v>#N/A</v>
      </c>
      <c r="F20" s="409" t="str">
        <f t="shared" si="0"/>
        <v/>
      </c>
    </row>
    <row r="21" spans="2:6" ht="14.65" customHeight="1" x14ac:dyDescent="0.25">
      <c r="B21" s="77"/>
      <c r="C21" s="399"/>
      <c r="D21" s="402"/>
      <c r="E21" s="408" t="e">
        <f>LOOKUP(C21,'KHG eriheitetegurid'!$B$148:$B$158,'KHG eriheitetegurid'!$D$148:$D$158)</f>
        <v>#N/A</v>
      </c>
      <c r="F21" s="409" t="str">
        <f t="shared" si="0"/>
        <v/>
      </c>
    </row>
    <row r="22" spans="2:6" ht="14.65" customHeight="1" x14ac:dyDescent="0.25">
      <c r="B22" s="77"/>
      <c r="C22" s="399"/>
      <c r="D22" s="402"/>
      <c r="E22" s="408" t="e">
        <f>LOOKUP(C22,'KHG eriheitetegurid'!$B$148:$B$158,'KHG eriheitetegurid'!$D$148:$D$158)</f>
        <v>#N/A</v>
      </c>
      <c r="F22" s="409" t="str">
        <f t="shared" si="0"/>
        <v/>
      </c>
    </row>
    <row r="23" spans="2:6" ht="14.65" customHeight="1" x14ac:dyDescent="0.25">
      <c r="B23" s="77"/>
      <c r="C23" s="399"/>
      <c r="D23" s="402"/>
      <c r="E23" s="408" t="e">
        <f>LOOKUP(C23,'KHG eriheitetegurid'!$B$148:$B$158,'KHG eriheitetegurid'!$D$148:$D$158)</f>
        <v>#N/A</v>
      </c>
      <c r="F23" s="409" t="str">
        <f t="shared" si="0"/>
        <v/>
      </c>
    </row>
    <row r="24" spans="2:6" ht="14.65" customHeight="1" x14ac:dyDescent="0.25">
      <c r="B24" s="77"/>
      <c r="C24" s="399"/>
      <c r="D24" s="402"/>
      <c r="E24" s="408" t="e">
        <f>LOOKUP(C24,'KHG eriheitetegurid'!$B$148:$B$158,'KHG eriheitetegurid'!$D$148:$D$158)</f>
        <v>#N/A</v>
      </c>
      <c r="F24" s="409" t="str">
        <f t="shared" si="0"/>
        <v/>
      </c>
    </row>
    <row r="25" spans="2:6" ht="14.65" customHeight="1" x14ac:dyDescent="0.25">
      <c r="B25" s="77"/>
      <c r="C25" s="399"/>
      <c r="D25" s="402"/>
      <c r="E25" s="408" t="e">
        <f>LOOKUP(C25,'KHG eriheitetegurid'!$B$148:$B$158,'KHG eriheitetegurid'!$D$148:$D$158)</f>
        <v>#N/A</v>
      </c>
      <c r="F25" s="409" t="str">
        <f t="shared" si="0"/>
        <v/>
      </c>
    </row>
    <row r="26" spans="2:6" ht="14.65" customHeight="1" thickBot="1" x14ac:dyDescent="0.3">
      <c r="B26" s="77"/>
      <c r="C26" s="400"/>
      <c r="D26" s="403"/>
      <c r="E26" s="410" t="e">
        <f>LOOKUP(C26,'KHG eriheitetegurid'!$B$148:$B$158,'KHG eriheitetegurid'!$D$148:$D$158)</f>
        <v>#N/A</v>
      </c>
      <c r="F26" s="414" t="str">
        <f t="shared" si="0"/>
        <v/>
      </c>
    </row>
    <row r="27" spans="2:6" ht="14.65" customHeight="1" thickBot="1" x14ac:dyDescent="0.3">
      <c r="B27" s="91"/>
      <c r="C27" s="222" t="s">
        <v>101</v>
      </c>
      <c r="D27" s="242"/>
      <c r="E27" s="243"/>
      <c r="F27" s="407">
        <f>SUM(F16:F26)</f>
        <v>0</v>
      </c>
    </row>
    <row r="28" spans="2:6" ht="14.65" customHeight="1" x14ac:dyDescent="0.25">
      <c r="C28"/>
      <c r="D28"/>
      <c r="F28"/>
    </row>
    <row r="29" spans="2:6" ht="14.65" customHeight="1" thickBot="1" x14ac:dyDescent="0.3">
      <c r="C29"/>
      <c r="D29"/>
      <c r="F29"/>
    </row>
    <row r="30" spans="2:6" ht="14.65" customHeight="1" x14ac:dyDescent="0.25">
      <c r="B30" s="591" t="s">
        <v>9</v>
      </c>
      <c r="C30" s="591" t="s">
        <v>10</v>
      </c>
      <c r="D30" s="629" t="s">
        <v>98</v>
      </c>
      <c r="E30" s="632" t="s">
        <v>99</v>
      </c>
      <c r="F30" s="601" t="s">
        <v>90</v>
      </c>
    </row>
    <row r="31" spans="2:6" ht="14.65" customHeight="1" x14ac:dyDescent="0.25">
      <c r="B31" s="592"/>
      <c r="C31" s="592"/>
      <c r="D31" s="630"/>
      <c r="E31" s="633"/>
      <c r="F31" s="602"/>
    </row>
    <row r="32" spans="2:6" ht="14.65" customHeight="1" x14ac:dyDescent="0.25">
      <c r="B32" s="592"/>
      <c r="C32" s="592"/>
      <c r="D32" s="630"/>
      <c r="E32" s="633"/>
      <c r="F32" s="602"/>
    </row>
    <row r="33" spans="2:6" ht="14.65" customHeight="1" thickBot="1" x14ac:dyDescent="0.3">
      <c r="B33" s="593"/>
      <c r="C33" s="593"/>
      <c r="D33" s="631"/>
      <c r="E33" s="634"/>
      <c r="F33" s="628"/>
    </row>
    <row r="34" spans="2:6" ht="14.65" customHeight="1" x14ac:dyDescent="0.25">
      <c r="B34" s="128">
        <f>ÜLDANDMED!D11</f>
        <v>2023</v>
      </c>
      <c r="C34" s="76" t="s">
        <v>100</v>
      </c>
      <c r="D34" s="164"/>
      <c r="E34" s="192"/>
      <c r="F34" s="244"/>
    </row>
    <row r="35" spans="2:6" ht="14.65" customHeight="1" x14ac:dyDescent="0.25">
      <c r="B35" s="77"/>
      <c r="C35" s="399"/>
      <c r="D35" s="402"/>
      <c r="E35" s="408" t="e">
        <f>LOOKUP(C35,'KHG eriheitetegurid'!$B$148:$B$158,'KHG eriheitetegurid'!$D$148:$D$158)</f>
        <v>#N/A</v>
      </c>
      <c r="F35" s="409" t="str">
        <f t="shared" si="0"/>
        <v/>
      </c>
    </row>
    <row r="36" spans="2:6" ht="14.65" customHeight="1" x14ac:dyDescent="0.25">
      <c r="B36" s="77"/>
      <c r="C36" s="399"/>
      <c r="D36" s="402"/>
      <c r="E36" s="408" t="e">
        <f>LOOKUP(C36,'KHG eriheitetegurid'!$B$148:$B$158,'KHG eriheitetegurid'!$D$148:$D$158)</f>
        <v>#N/A</v>
      </c>
      <c r="F36" s="409" t="str">
        <f t="shared" si="0"/>
        <v/>
      </c>
    </row>
    <row r="37" spans="2:6" ht="14.65" customHeight="1" x14ac:dyDescent="0.25">
      <c r="B37" s="77"/>
      <c r="C37" s="399"/>
      <c r="D37" s="402"/>
      <c r="E37" s="408" t="e">
        <f>LOOKUP(C37,'KHG eriheitetegurid'!$B$148:$B$158,'KHG eriheitetegurid'!$D$148:$D$158)</f>
        <v>#N/A</v>
      </c>
      <c r="F37" s="409" t="str">
        <f t="shared" si="0"/>
        <v/>
      </c>
    </row>
    <row r="38" spans="2:6" ht="14.65" customHeight="1" x14ac:dyDescent="0.25">
      <c r="B38" s="77"/>
      <c r="C38" s="399"/>
      <c r="D38" s="402"/>
      <c r="E38" s="408" t="e">
        <f>LOOKUP(C38,'KHG eriheitetegurid'!$B$148:$B$158,'KHG eriheitetegurid'!$D$148:$D$158)</f>
        <v>#N/A</v>
      </c>
      <c r="F38" s="409" t="str">
        <f t="shared" si="0"/>
        <v/>
      </c>
    </row>
    <row r="39" spans="2:6" ht="14.65" customHeight="1" x14ac:dyDescent="0.25">
      <c r="B39" s="77"/>
      <c r="C39" s="399"/>
      <c r="D39" s="402"/>
      <c r="E39" s="408" t="e">
        <f>LOOKUP(C39,'KHG eriheitetegurid'!$B$148:$B$158,'KHG eriheitetegurid'!$D$148:$D$158)</f>
        <v>#N/A</v>
      </c>
      <c r="F39" s="409" t="str">
        <f t="shared" si="0"/>
        <v/>
      </c>
    </row>
    <row r="40" spans="2:6" ht="14.65" customHeight="1" x14ac:dyDescent="0.25">
      <c r="B40" s="77"/>
      <c r="C40" s="399"/>
      <c r="D40" s="402"/>
      <c r="E40" s="408" t="e">
        <f>LOOKUP(C40,'KHG eriheitetegurid'!$B$148:$B$158,'KHG eriheitetegurid'!$D$148:$D$158)</f>
        <v>#N/A</v>
      </c>
      <c r="F40" s="409" t="str">
        <f t="shared" si="0"/>
        <v/>
      </c>
    </row>
    <row r="41" spans="2:6" ht="14.65" customHeight="1" x14ac:dyDescent="0.25">
      <c r="B41" s="77"/>
      <c r="C41" s="399"/>
      <c r="D41" s="402"/>
      <c r="E41" s="408" t="e">
        <f>LOOKUP(C41,'KHG eriheitetegurid'!$B$148:$B$158,'KHG eriheitetegurid'!$D$148:$D$158)</f>
        <v>#N/A</v>
      </c>
      <c r="F41" s="409" t="str">
        <f t="shared" si="0"/>
        <v/>
      </c>
    </row>
    <row r="42" spans="2:6" ht="14.65" customHeight="1" x14ac:dyDescent="0.25">
      <c r="B42" s="77"/>
      <c r="C42" s="399"/>
      <c r="D42" s="402"/>
      <c r="E42" s="408" t="e">
        <f>LOOKUP(C42,'KHG eriheitetegurid'!$B$148:$B$158,'KHG eriheitetegurid'!$D$148:$D$158)</f>
        <v>#N/A</v>
      </c>
      <c r="F42" s="409" t="str">
        <f t="shared" si="0"/>
        <v/>
      </c>
    </row>
    <row r="43" spans="2:6" ht="14.65" customHeight="1" x14ac:dyDescent="0.25">
      <c r="B43" s="77"/>
      <c r="C43" s="399"/>
      <c r="D43" s="402"/>
      <c r="E43" s="408" t="e">
        <f>LOOKUP(C43,'KHG eriheitetegurid'!$B$148:$B$158,'KHG eriheitetegurid'!$D$148:$D$158)</f>
        <v>#N/A</v>
      </c>
      <c r="F43" s="409" t="str">
        <f t="shared" si="0"/>
        <v/>
      </c>
    </row>
    <row r="44" spans="2:6" ht="14.65" customHeight="1" x14ac:dyDescent="0.25">
      <c r="B44" s="77"/>
      <c r="C44" s="399"/>
      <c r="D44" s="402"/>
      <c r="E44" s="408" t="e">
        <f>LOOKUP(C44,'KHG eriheitetegurid'!$B$148:$B$158,'KHG eriheitetegurid'!$D$148:$D$158)</f>
        <v>#N/A</v>
      </c>
      <c r="F44" s="409" t="str">
        <f t="shared" si="0"/>
        <v/>
      </c>
    </row>
    <row r="45" spans="2:6" ht="14.65" customHeight="1" thickBot="1" x14ac:dyDescent="0.3">
      <c r="B45" s="91"/>
      <c r="C45" s="401"/>
      <c r="D45" s="402"/>
      <c r="E45" s="410" t="e">
        <f>LOOKUP(C45,'KHG eriheitetegurid'!$B$148:$B$158,'KHG eriheitetegurid'!$D$148:$D$158)</f>
        <v>#N/A</v>
      </c>
      <c r="F45" s="409" t="str">
        <f t="shared" si="0"/>
        <v/>
      </c>
    </row>
    <row r="46" spans="2:6" ht="14.65" customHeight="1" thickBot="1" x14ac:dyDescent="0.3">
      <c r="B46" s="91"/>
      <c r="C46" s="222" t="s">
        <v>101</v>
      </c>
      <c r="D46" s="242"/>
      <c r="E46" s="243"/>
      <c r="F46" s="407">
        <f>SUM(F35:F45)</f>
        <v>0</v>
      </c>
    </row>
    <row r="47" spans="2:6" ht="14.65" customHeight="1" x14ac:dyDescent="0.25">
      <c r="C47"/>
      <c r="D47"/>
      <c r="F47"/>
    </row>
    <row r="48" spans="2:6" ht="14.65" customHeight="1" thickBot="1" x14ac:dyDescent="0.3">
      <c r="C48"/>
      <c r="D48"/>
      <c r="F48"/>
    </row>
    <row r="49" spans="2:6" ht="14.65" customHeight="1" x14ac:dyDescent="0.25">
      <c r="B49" s="591" t="s">
        <v>9</v>
      </c>
      <c r="C49" s="591" t="s">
        <v>10</v>
      </c>
      <c r="D49" s="629" t="s">
        <v>98</v>
      </c>
      <c r="E49" s="632" t="s">
        <v>99</v>
      </c>
      <c r="F49" s="601" t="s">
        <v>90</v>
      </c>
    </row>
    <row r="50" spans="2:6" ht="14.65" customHeight="1" x14ac:dyDescent="0.25">
      <c r="B50" s="592"/>
      <c r="C50" s="592"/>
      <c r="D50" s="630"/>
      <c r="E50" s="633"/>
      <c r="F50" s="602"/>
    </row>
    <row r="51" spans="2:6" ht="14.65" customHeight="1" x14ac:dyDescent="0.25">
      <c r="B51" s="592"/>
      <c r="C51" s="592"/>
      <c r="D51" s="630"/>
      <c r="E51" s="633"/>
      <c r="F51" s="602"/>
    </row>
    <row r="52" spans="2:6" ht="14.65" customHeight="1" thickBot="1" x14ac:dyDescent="0.3">
      <c r="B52" s="593"/>
      <c r="C52" s="593"/>
      <c r="D52" s="631"/>
      <c r="E52" s="634"/>
      <c r="F52" s="628"/>
    </row>
    <row r="53" spans="2:6" ht="14.65" customHeight="1" x14ac:dyDescent="0.25">
      <c r="B53" s="89">
        <f>ÜLDANDMED!E11</f>
        <v>2024</v>
      </c>
      <c r="C53" s="76" t="s">
        <v>100</v>
      </c>
      <c r="D53" s="164"/>
      <c r="E53" s="192"/>
      <c r="F53" s="244"/>
    </row>
    <row r="54" spans="2:6" ht="14.65" customHeight="1" x14ac:dyDescent="0.25">
      <c r="B54" s="77"/>
      <c r="C54" s="399"/>
      <c r="D54" s="402"/>
      <c r="E54" s="408" t="e">
        <f>LOOKUP(C54,'KHG eriheitetegurid'!$B$148:$B$158,'KHG eriheitetegurid'!$D$148:$D$158)</f>
        <v>#N/A</v>
      </c>
      <c r="F54" s="409" t="str">
        <f t="shared" si="0"/>
        <v/>
      </c>
    </row>
    <row r="55" spans="2:6" ht="14.65" customHeight="1" x14ac:dyDescent="0.25">
      <c r="B55" s="77"/>
      <c r="C55" s="399"/>
      <c r="D55" s="402"/>
      <c r="E55" s="408" t="e">
        <f>LOOKUP(C55,'KHG eriheitetegurid'!$B$148:$B$158,'KHG eriheitetegurid'!$D$148:$D$158)</f>
        <v>#N/A</v>
      </c>
      <c r="F55" s="409" t="str">
        <f t="shared" si="0"/>
        <v/>
      </c>
    </row>
    <row r="56" spans="2:6" ht="14.65" customHeight="1" x14ac:dyDescent="0.25">
      <c r="B56" s="77"/>
      <c r="C56" s="399"/>
      <c r="D56" s="402"/>
      <c r="E56" s="408" t="e">
        <f>LOOKUP(C56,'KHG eriheitetegurid'!$B$148:$B$158,'KHG eriheitetegurid'!$D$148:$D$158)</f>
        <v>#N/A</v>
      </c>
      <c r="F56" s="409" t="str">
        <f t="shared" si="0"/>
        <v/>
      </c>
    </row>
    <row r="57" spans="2:6" ht="14.65" customHeight="1" x14ac:dyDescent="0.25">
      <c r="B57" s="77"/>
      <c r="C57" s="399"/>
      <c r="D57" s="402"/>
      <c r="E57" s="408" t="e">
        <f>LOOKUP(C57,'KHG eriheitetegurid'!$B$148:$B$158,'KHG eriheitetegurid'!$D$148:$D$158)</f>
        <v>#N/A</v>
      </c>
      <c r="F57" s="409" t="str">
        <f t="shared" si="0"/>
        <v/>
      </c>
    </row>
    <row r="58" spans="2:6" ht="14.65" customHeight="1" x14ac:dyDescent="0.25">
      <c r="B58" s="77"/>
      <c r="C58" s="399"/>
      <c r="D58" s="402"/>
      <c r="E58" s="408" t="e">
        <f>LOOKUP(C58,'KHG eriheitetegurid'!$B$148:$B$158,'KHG eriheitetegurid'!$D$148:$D$158)</f>
        <v>#N/A</v>
      </c>
      <c r="F58" s="409" t="str">
        <f t="shared" si="0"/>
        <v/>
      </c>
    </row>
    <row r="59" spans="2:6" ht="14.65" customHeight="1" x14ac:dyDescent="0.25">
      <c r="B59" s="77"/>
      <c r="C59" s="399"/>
      <c r="D59" s="402"/>
      <c r="E59" s="408" t="e">
        <f>LOOKUP(C59,'KHG eriheitetegurid'!$B$148:$B$158,'KHG eriheitetegurid'!$D$148:$D$158)</f>
        <v>#N/A</v>
      </c>
      <c r="F59" s="409" t="str">
        <f t="shared" si="0"/>
        <v/>
      </c>
    </row>
    <row r="60" spans="2:6" ht="14.65" customHeight="1" x14ac:dyDescent="0.25">
      <c r="B60" s="77"/>
      <c r="C60" s="399"/>
      <c r="D60" s="402"/>
      <c r="E60" s="408" t="e">
        <f>LOOKUP(C60,'KHG eriheitetegurid'!$B$148:$B$158,'KHG eriheitetegurid'!$D$148:$D$158)</f>
        <v>#N/A</v>
      </c>
      <c r="F60" s="409" t="str">
        <f t="shared" si="0"/>
        <v/>
      </c>
    </row>
    <row r="61" spans="2:6" ht="14.65" customHeight="1" x14ac:dyDescent="0.25">
      <c r="B61" s="77"/>
      <c r="C61" s="399"/>
      <c r="D61" s="402"/>
      <c r="E61" s="408" t="e">
        <f>LOOKUP(C61,'KHG eriheitetegurid'!$B$148:$B$158,'KHG eriheitetegurid'!$D$148:$D$158)</f>
        <v>#N/A</v>
      </c>
      <c r="F61" s="409" t="str">
        <f t="shared" si="0"/>
        <v/>
      </c>
    </row>
    <row r="62" spans="2:6" ht="14.65" customHeight="1" x14ac:dyDescent="0.25">
      <c r="B62" s="77"/>
      <c r="C62" s="399"/>
      <c r="D62" s="402"/>
      <c r="E62" s="408" t="e">
        <f>LOOKUP(C62,'KHG eriheitetegurid'!$B$148:$B$158,'KHG eriheitetegurid'!$D$148:$D$158)</f>
        <v>#N/A</v>
      </c>
      <c r="F62" s="409" t="str">
        <f t="shared" si="0"/>
        <v/>
      </c>
    </row>
    <row r="63" spans="2:6" ht="14.65" customHeight="1" x14ac:dyDescent="0.25">
      <c r="B63" s="77"/>
      <c r="C63" s="399"/>
      <c r="D63" s="402"/>
      <c r="E63" s="408" t="e">
        <f>LOOKUP(C63,'KHG eriheitetegurid'!$B$148:$B$158,'KHG eriheitetegurid'!$D$148:$D$158)</f>
        <v>#N/A</v>
      </c>
      <c r="F63" s="409" t="str">
        <f t="shared" si="0"/>
        <v/>
      </c>
    </row>
    <row r="64" spans="2:6" ht="14.65" customHeight="1" thickBot="1" x14ac:dyDescent="0.3">
      <c r="B64" s="91"/>
      <c r="C64" s="401"/>
      <c r="D64" s="402"/>
      <c r="E64" s="408" t="e">
        <f>LOOKUP(C64,'KHG eriheitetegurid'!$B$148:$B$158,'KHG eriheitetegurid'!$D$148:$D$158)</f>
        <v>#N/A</v>
      </c>
      <c r="F64" s="409" t="str">
        <f t="shared" si="0"/>
        <v/>
      </c>
    </row>
    <row r="65" spans="2:6" ht="14.65" customHeight="1" thickBot="1" x14ac:dyDescent="0.3">
      <c r="B65" s="91"/>
      <c r="C65" s="222" t="s">
        <v>101</v>
      </c>
      <c r="D65" s="242"/>
      <c r="E65" s="243"/>
      <c r="F65" s="407">
        <f>SUM(F54:F64)</f>
        <v>0</v>
      </c>
    </row>
    <row r="66" spans="2:6" ht="14.65" customHeight="1" x14ac:dyDescent="0.25">
      <c r="C66"/>
      <c r="D66"/>
      <c r="F66"/>
    </row>
    <row r="67" spans="2:6" ht="14.65" customHeight="1" thickBot="1" x14ac:dyDescent="0.3">
      <c r="C67"/>
      <c r="D67"/>
      <c r="F67"/>
    </row>
    <row r="68" spans="2:6" ht="14.65" customHeight="1" x14ac:dyDescent="0.25">
      <c r="B68" s="591" t="s">
        <v>9</v>
      </c>
      <c r="C68" s="591" t="s">
        <v>10</v>
      </c>
      <c r="D68" s="629" t="s">
        <v>98</v>
      </c>
      <c r="E68" s="632" t="s">
        <v>99</v>
      </c>
      <c r="F68" s="601" t="s">
        <v>90</v>
      </c>
    </row>
    <row r="69" spans="2:6" ht="14.65" customHeight="1" x14ac:dyDescent="0.25">
      <c r="B69" s="592"/>
      <c r="C69" s="592"/>
      <c r="D69" s="630"/>
      <c r="E69" s="633"/>
      <c r="F69" s="602"/>
    </row>
    <row r="70" spans="2:6" ht="14.65" customHeight="1" x14ac:dyDescent="0.25">
      <c r="B70" s="592"/>
      <c r="C70" s="592"/>
      <c r="D70" s="630"/>
      <c r="E70" s="633"/>
      <c r="F70" s="602"/>
    </row>
    <row r="71" spans="2:6" ht="14.65" customHeight="1" thickBot="1" x14ac:dyDescent="0.3">
      <c r="B71" s="593"/>
      <c r="C71" s="593"/>
      <c r="D71" s="631"/>
      <c r="E71" s="634"/>
      <c r="F71" s="628"/>
    </row>
    <row r="72" spans="2:6" ht="14.65" customHeight="1" x14ac:dyDescent="0.25">
      <c r="B72" s="128">
        <f>ÜLDANDMED!F11</f>
        <v>2025</v>
      </c>
      <c r="C72" s="76" t="s">
        <v>100</v>
      </c>
      <c r="D72" s="164"/>
      <c r="E72" s="192"/>
      <c r="F72" s="244"/>
    </row>
    <row r="73" spans="2:6" ht="14.65" customHeight="1" x14ac:dyDescent="0.25">
      <c r="B73" s="77"/>
      <c r="C73" s="399"/>
      <c r="D73" s="402"/>
      <c r="E73" s="408" t="e">
        <f>LOOKUP(C73,'KHG eriheitetegurid'!$B$148:$B$158,'KHG eriheitetegurid'!$D$148:$D$158)</f>
        <v>#N/A</v>
      </c>
      <c r="F73" s="409" t="str">
        <f t="shared" si="0"/>
        <v/>
      </c>
    </row>
    <row r="74" spans="2:6" ht="14.65" customHeight="1" x14ac:dyDescent="0.25">
      <c r="B74" s="77"/>
      <c r="C74" s="399"/>
      <c r="D74" s="402"/>
      <c r="E74" s="408" t="e">
        <f>LOOKUP(C74,'KHG eriheitetegurid'!$B$148:$B$158,'KHG eriheitetegurid'!$D$148:$D$158)</f>
        <v>#N/A</v>
      </c>
      <c r="F74" s="409" t="str">
        <f t="shared" si="0"/>
        <v/>
      </c>
    </row>
    <row r="75" spans="2:6" ht="14.65" customHeight="1" x14ac:dyDescent="0.25">
      <c r="B75" s="77"/>
      <c r="C75" s="399"/>
      <c r="D75" s="402"/>
      <c r="E75" s="408" t="e">
        <f>LOOKUP(C75,'KHG eriheitetegurid'!$B$148:$B$158,'KHG eriheitetegurid'!$D$148:$D$158)</f>
        <v>#N/A</v>
      </c>
      <c r="F75" s="409" t="str">
        <f t="shared" si="0"/>
        <v/>
      </c>
    </row>
    <row r="76" spans="2:6" ht="14.65" customHeight="1" x14ac:dyDescent="0.25">
      <c r="B76" s="77"/>
      <c r="C76" s="399"/>
      <c r="D76" s="402"/>
      <c r="E76" s="408" t="e">
        <f>LOOKUP(C76,'KHG eriheitetegurid'!$B$148:$B$158,'KHG eriheitetegurid'!$D$148:$D$158)</f>
        <v>#N/A</v>
      </c>
      <c r="F76" s="409" t="str">
        <f t="shared" si="0"/>
        <v/>
      </c>
    </row>
    <row r="77" spans="2:6" ht="14.65" customHeight="1" x14ac:dyDescent="0.25">
      <c r="B77" s="77"/>
      <c r="C77" s="399"/>
      <c r="D77" s="402"/>
      <c r="E77" s="408" t="e">
        <f>LOOKUP(C77,'KHG eriheitetegurid'!$B$148:$B$158,'KHG eriheitetegurid'!$D$148:$D$158)</f>
        <v>#N/A</v>
      </c>
      <c r="F77" s="409" t="str">
        <f t="shared" si="0"/>
        <v/>
      </c>
    </row>
    <row r="78" spans="2:6" ht="14.65" customHeight="1" x14ac:dyDescent="0.25">
      <c r="B78" s="77"/>
      <c r="C78" s="399"/>
      <c r="D78" s="402"/>
      <c r="E78" s="408" t="e">
        <f>LOOKUP(C78,'KHG eriheitetegurid'!$B$148:$B$158,'KHG eriheitetegurid'!$D$148:$D$158)</f>
        <v>#N/A</v>
      </c>
      <c r="F78" s="409" t="str">
        <f t="shared" si="0"/>
        <v/>
      </c>
    </row>
    <row r="79" spans="2:6" ht="14.65" customHeight="1" x14ac:dyDescent="0.25">
      <c r="B79" s="77"/>
      <c r="C79" s="399"/>
      <c r="D79" s="402"/>
      <c r="E79" s="408" t="e">
        <f>LOOKUP(C79,'KHG eriheitetegurid'!$B$148:$B$158,'KHG eriheitetegurid'!$D$148:$D$158)</f>
        <v>#N/A</v>
      </c>
      <c r="F79" s="409" t="str">
        <f t="shared" si="0"/>
        <v/>
      </c>
    </row>
    <row r="80" spans="2:6" ht="14.65" customHeight="1" x14ac:dyDescent="0.25">
      <c r="B80" s="77"/>
      <c r="C80" s="399"/>
      <c r="D80" s="402"/>
      <c r="E80" s="408" t="e">
        <f>LOOKUP(C80,'KHG eriheitetegurid'!$B$148:$B$158,'KHG eriheitetegurid'!$D$148:$D$158)</f>
        <v>#N/A</v>
      </c>
      <c r="F80" s="409" t="str">
        <f t="shared" si="0"/>
        <v/>
      </c>
    </row>
    <row r="81" spans="2:6" ht="14.65" customHeight="1" x14ac:dyDescent="0.25">
      <c r="B81" s="77"/>
      <c r="C81" s="399"/>
      <c r="D81" s="402"/>
      <c r="E81" s="408" t="e">
        <f>LOOKUP(C81,'KHG eriheitetegurid'!$B$148:$B$158,'KHG eriheitetegurid'!$D$148:$D$158)</f>
        <v>#N/A</v>
      </c>
      <c r="F81" s="409" t="str">
        <f t="shared" si="0"/>
        <v/>
      </c>
    </row>
    <row r="82" spans="2:6" ht="14.65" customHeight="1" x14ac:dyDescent="0.25">
      <c r="B82" s="77"/>
      <c r="C82" s="399"/>
      <c r="D82" s="402"/>
      <c r="E82" s="408" t="e">
        <f>LOOKUP(C82,'KHG eriheitetegurid'!$B$148:$B$158,'KHG eriheitetegurid'!$D$148:$D$158)</f>
        <v>#N/A</v>
      </c>
      <c r="F82" s="409" t="str">
        <f t="shared" si="0"/>
        <v/>
      </c>
    </row>
    <row r="83" spans="2:6" ht="14.65" customHeight="1" thickBot="1" x14ac:dyDescent="0.3">
      <c r="B83" s="91"/>
      <c r="C83" s="401"/>
      <c r="D83" s="403"/>
      <c r="E83" s="410" t="e">
        <f>LOOKUP(C83,'KHG eriheitetegurid'!$B$148:$B$158,'KHG eriheitetegurid'!$D$148:$D$158)</f>
        <v>#N/A</v>
      </c>
      <c r="F83" s="409" t="str">
        <f t="shared" si="0"/>
        <v/>
      </c>
    </row>
    <row r="84" spans="2:6" ht="14.65" customHeight="1" thickBot="1" x14ac:dyDescent="0.3">
      <c r="B84" s="91"/>
      <c r="C84" s="222" t="s">
        <v>101</v>
      </c>
      <c r="D84" s="242"/>
      <c r="E84" s="243"/>
      <c r="F84" s="407">
        <f>SUM(F73:F83)</f>
        <v>0</v>
      </c>
    </row>
    <row r="85" spans="2:6" ht="14.65" customHeight="1" x14ac:dyDescent="0.25">
      <c r="C85"/>
      <c r="D85"/>
      <c r="F85"/>
    </row>
    <row r="86" spans="2:6" ht="14.65" customHeight="1" thickBot="1" x14ac:dyDescent="0.3">
      <c r="C86"/>
      <c r="D86"/>
      <c r="F86"/>
    </row>
    <row r="87" spans="2:6" ht="14.65" customHeight="1" x14ac:dyDescent="0.25">
      <c r="B87" s="591" t="s">
        <v>9</v>
      </c>
      <c r="C87" s="591" t="s">
        <v>10</v>
      </c>
      <c r="D87" s="629" t="s">
        <v>98</v>
      </c>
      <c r="E87" s="632" t="s">
        <v>99</v>
      </c>
      <c r="F87" s="601" t="s">
        <v>90</v>
      </c>
    </row>
    <row r="88" spans="2:6" ht="14.65" customHeight="1" x14ac:dyDescent="0.25">
      <c r="B88" s="592"/>
      <c r="C88" s="592"/>
      <c r="D88" s="630"/>
      <c r="E88" s="633"/>
      <c r="F88" s="602"/>
    </row>
    <row r="89" spans="2:6" ht="14.65" customHeight="1" x14ac:dyDescent="0.25">
      <c r="B89" s="592"/>
      <c r="C89" s="592"/>
      <c r="D89" s="630"/>
      <c r="E89" s="633"/>
      <c r="F89" s="602"/>
    </row>
    <row r="90" spans="2:6" ht="14.65" customHeight="1" thickBot="1" x14ac:dyDescent="0.3">
      <c r="B90" s="593"/>
      <c r="C90" s="593"/>
      <c r="D90" s="631"/>
      <c r="E90" s="634"/>
      <c r="F90" s="628"/>
    </row>
    <row r="91" spans="2:6" ht="14.65" customHeight="1" x14ac:dyDescent="0.25">
      <c r="B91" s="89">
        <f>ÜLDANDMED!G11</f>
        <v>2026</v>
      </c>
      <c r="C91" s="76" t="s">
        <v>100</v>
      </c>
      <c r="D91" s="164"/>
      <c r="E91" s="192"/>
      <c r="F91" s="244"/>
    </row>
    <row r="92" spans="2:6" ht="14.65" customHeight="1" x14ac:dyDescent="0.25">
      <c r="B92" s="77"/>
      <c r="C92" s="399"/>
      <c r="D92" s="402"/>
      <c r="E92" s="408" t="e">
        <f>LOOKUP(C92,'KHG eriheitetegurid'!$B$148:$B$158,'KHG eriheitetegurid'!$D$148:$D$158)</f>
        <v>#N/A</v>
      </c>
      <c r="F92" s="409" t="str">
        <f t="shared" si="0"/>
        <v/>
      </c>
    </row>
    <row r="93" spans="2:6" ht="14.65" customHeight="1" x14ac:dyDescent="0.25">
      <c r="B93" s="77"/>
      <c r="C93" s="399"/>
      <c r="D93" s="402"/>
      <c r="E93" s="408" t="e">
        <f>LOOKUP(C93,'KHG eriheitetegurid'!$B$148:$B$158,'KHG eriheitetegurid'!$D$148:$D$158)</f>
        <v>#N/A</v>
      </c>
      <c r="F93" s="409" t="str">
        <f t="shared" si="0"/>
        <v/>
      </c>
    </row>
    <row r="94" spans="2:6" ht="14.65" customHeight="1" x14ac:dyDescent="0.25">
      <c r="B94" s="77"/>
      <c r="C94" s="399"/>
      <c r="D94" s="402"/>
      <c r="E94" s="408" t="e">
        <f>LOOKUP(C94,'KHG eriheitetegurid'!$B$148:$B$158,'KHG eriheitetegurid'!$D$148:$D$158)</f>
        <v>#N/A</v>
      </c>
      <c r="F94" s="409" t="str">
        <f t="shared" si="0"/>
        <v/>
      </c>
    </row>
    <row r="95" spans="2:6" ht="14.65" customHeight="1" x14ac:dyDescent="0.25">
      <c r="B95" s="77"/>
      <c r="C95" s="399"/>
      <c r="D95" s="402"/>
      <c r="E95" s="408" t="e">
        <f>LOOKUP(C95,'KHG eriheitetegurid'!$B$148:$B$158,'KHG eriheitetegurid'!$D$148:$D$158)</f>
        <v>#N/A</v>
      </c>
      <c r="F95" s="409" t="str">
        <f t="shared" si="0"/>
        <v/>
      </c>
    </row>
    <row r="96" spans="2:6" ht="14.65" customHeight="1" x14ac:dyDescent="0.25">
      <c r="B96" s="77"/>
      <c r="C96" s="399"/>
      <c r="D96" s="402"/>
      <c r="E96" s="408" t="e">
        <f>LOOKUP(C96,'KHG eriheitetegurid'!$B$148:$B$158,'KHG eriheitetegurid'!$D$148:$D$158)</f>
        <v>#N/A</v>
      </c>
      <c r="F96" s="409" t="str">
        <f t="shared" si="0"/>
        <v/>
      </c>
    </row>
    <row r="97" spans="2:6" ht="14.65" customHeight="1" x14ac:dyDescent="0.25">
      <c r="B97" s="77"/>
      <c r="C97" s="399"/>
      <c r="D97" s="402"/>
      <c r="E97" s="408" t="e">
        <f>LOOKUP(C97,'KHG eriheitetegurid'!$B$148:$B$158,'KHG eriheitetegurid'!$D$148:$D$158)</f>
        <v>#N/A</v>
      </c>
      <c r="F97" s="409" t="str">
        <f t="shared" si="0"/>
        <v/>
      </c>
    </row>
    <row r="98" spans="2:6" ht="14.65" customHeight="1" x14ac:dyDescent="0.25">
      <c r="B98" s="77"/>
      <c r="C98" s="399"/>
      <c r="D98" s="402"/>
      <c r="E98" s="408" t="e">
        <f>LOOKUP(C98,'KHG eriheitetegurid'!$B$148:$B$158,'KHG eriheitetegurid'!$D$148:$D$158)</f>
        <v>#N/A</v>
      </c>
      <c r="F98" s="409" t="str">
        <f t="shared" si="0"/>
        <v/>
      </c>
    </row>
    <row r="99" spans="2:6" ht="14.65" customHeight="1" x14ac:dyDescent="0.25">
      <c r="B99" s="77"/>
      <c r="C99" s="399"/>
      <c r="D99" s="402"/>
      <c r="E99" s="408" t="e">
        <f>LOOKUP(C99,'KHG eriheitetegurid'!$B$148:$B$158,'KHG eriheitetegurid'!$D$148:$D$158)</f>
        <v>#N/A</v>
      </c>
      <c r="F99" s="409" t="str">
        <f t="shared" si="0"/>
        <v/>
      </c>
    </row>
    <row r="100" spans="2:6" ht="14.65" customHeight="1" x14ac:dyDescent="0.25">
      <c r="B100" s="77"/>
      <c r="C100" s="399"/>
      <c r="D100" s="402"/>
      <c r="E100" s="408" t="e">
        <f>LOOKUP(C100,'KHG eriheitetegurid'!$B$148:$B$158,'KHG eriheitetegurid'!$D$148:$D$158)</f>
        <v>#N/A</v>
      </c>
      <c r="F100" s="409" t="str">
        <f t="shared" si="0"/>
        <v/>
      </c>
    </row>
    <row r="101" spans="2:6" ht="14.65" customHeight="1" x14ac:dyDescent="0.25">
      <c r="B101" s="77"/>
      <c r="C101" s="399"/>
      <c r="D101" s="402"/>
      <c r="E101" s="408" t="e">
        <f>LOOKUP(C101,'KHG eriheitetegurid'!$B$148:$B$158,'KHG eriheitetegurid'!$D$148:$D$158)</f>
        <v>#N/A</v>
      </c>
      <c r="F101" s="409" t="str">
        <f t="shared" si="0"/>
        <v/>
      </c>
    </row>
    <row r="102" spans="2:6" ht="14.65" customHeight="1" thickBot="1" x14ac:dyDescent="0.3">
      <c r="B102" s="91"/>
      <c r="C102" s="401"/>
      <c r="D102" s="402"/>
      <c r="E102" s="408" t="e">
        <f>LOOKUP(C102,'KHG eriheitetegurid'!$B$148:$B$158,'KHG eriheitetegurid'!$D$148:$D$158)</f>
        <v>#N/A</v>
      </c>
      <c r="F102" s="409" t="str">
        <f t="shared" si="0"/>
        <v/>
      </c>
    </row>
    <row r="103" spans="2:6" ht="14.65" customHeight="1" thickBot="1" x14ac:dyDescent="0.3">
      <c r="B103" s="91"/>
      <c r="C103" s="222" t="s">
        <v>101</v>
      </c>
      <c r="D103" s="242"/>
      <c r="E103" s="243"/>
      <c r="F103" s="407">
        <f>SUM(F92:F102)</f>
        <v>0</v>
      </c>
    </row>
    <row r="104" spans="2:6" ht="14.65" customHeight="1" x14ac:dyDescent="0.25">
      <c r="C104"/>
      <c r="D104"/>
      <c r="F104"/>
    </row>
    <row r="105" spans="2:6" ht="14.65" customHeight="1" thickBot="1" x14ac:dyDescent="0.3">
      <c r="C105"/>
      <c r="D105"/>
      <c r="F105"/>
    </row>
    <row r="106" spans="2:6" ht="14.65" customHeight="1" x14ac:dyDescent="0.25">
      <c r="B106" s="591" t="s">
        <v>9</v>
      </c>
      <c r="C106" s="591" t="s">
        <v>10</v>
      </c>
      <c r="D106" s="629" t="s">
        <v>98</v>
      </c>
      <c r="E106" s="632" t="s">
        <v>99</v>
      </c>
      <c r="F106" s="601" t="s">
        <v>90</v>
      </c>
    </row>
    <row r="107" spans="2:6" ht="14.65" customHeight="1" x14ac:dyDescent="0.25">
      <c r="B107" s="592"/>
      <c r="C107" s="592"/>
      <c r="D107" s="630"/>
      <c r="E107" s="633"/>
      <c r="F107" s="602"/>
    </row>
    <row r="108" spans="2:6" ht="14.65" customHeight="1" x14ac:dyDescent="0.25">
      <c r="B108" s="592"/>
      <c r="C108" s="592"/>
      <c r="D108" s="630"/>
      <c r="E108" s="633"/>
      <c r="F108" s="602"/>
    </row>
    <row r="109" spans="2:6" ht="14.65" customHeight="1" thickBot="1" x14ac:dyDescent="0.3">
      <c r="B109" s="593"/>
      <c r="C109" s="593"/>
      <c r="D109" s="631"/>
      <c r="E109" s="634"/>
      <c r="F109" s="628"/>
    </row>
    <row r="110" spans="2:6" ht="14.65" customHeight="1" x14ac:dyDescent="0.25">
      <c r="B110" s="128">
        <f>ÜLDANDMED!H11</f>
        <v>2027</v>
      </c>
      <c r="C110" s="76" t="s">
        <v>100</v>
      </c>
      <c r="D110" s="164"/>
      <c r="E110" s="192"/>
      <c r="F110" s="244"/>
    </row>
    <row r="111" spans="2:6" ht="14.65" customHeight="1" x14ac:dyDescent="0.25">
      <c r="B111" s="77"/>
      <c r="C111" s="399"/>
      <c r="D111" s="402"/>
      <c r="E111" s="408" t="e">
        <f>LOOKUP(C111,'KHG eriheitetegurid'!$B$148:$B$158,'KHG eriheitetegurid'!$D$148:$D$158)</f>
        <v>#N/A</v>
      </c>
      <c r="F111" s="409" t="str">
        <f t="shared" si="0"/>
        <v/>
      </c>
    </row>
    <row r="112" spans="2:6" ht="14.65" customHeight="1" x14ac:dyDescent="0.25">
      <c r="B112" s="77"/>
      <c r="C112" s="399"/>
      <c r="D112" s="402"/>
      <c r="E112" s="408" t="e">
        <f>LOOKUP(C112,'KHG eriheitetegurid'!$B$148:$B$158,'KHG eriheitetegurid'!$D$148:$D$158)</f>
        <v>#N/A</v>
      </c>
      <c r="F112" s="409" t="str">
        <f t="shared" si="0"/>
        <v/>
      </c>
    </row>
    <row r="113" spans="2:6" ht="14.65" customHeight="1" x14ac:dyDescent="0.25">
      <c r="B113" s="77"/>
      <c r="C113" s="399"/>
      <c r="D113" s="402"/>
      <c r="E113" s="408" t="e">
        <f>LOOKUP(C113,'KHG eriheitetegurid'!$B$148:$B$158,'KHG eriheitetegurid'!$D$148:$D$158)</f>
        <v>#N/A</v>
      </c>
      <c r="F113" s="409" t="str">
        <f t="shared" si="0"/>
        <v/>
      </c>
    </row>
    <row r="114" spans="2:6" ht="14.65" customHeight="1" x14ac:dyDescent="0.25">
      <c r="B114" s="77"/>
      <c r="C114" s="399"/>
      <c r="D114" s="402"/>
      <c r="E114" s="408" t="e">
        <f>LOOKUP(C114,'KHG eriheitetegurid'!$B$148:$B$158,'KHG eriheitetegurid'!$D$148:$D$158)</f>
        <v>#N/A</v>
      </c>
      <c r="F114" s="409" t="str">
        <f t="shared" si="0"/>
        <v/>
      </c>
    </row>
    <row r="115" spans="2:6" ht="14.65" customHeight="1" x14ac:dyDescent="0.25">
      <c r="B115" s="77"/>
      <c r="C115" s="399"/>
      <c r="D115" s="402"/>
      <c r="E115" s="408" t="e">
        <f>LOOKUP(C115,'KHG eriheitetegurid'!$B$148:$B$158,'KHG eriheitetegurid'!$D$148:$D$158)</f>
        <v>#N/A</v>
      </c>
      <c r="F115" s="409" t="str">
        <f t="shared" si="0"/>
        <v/>
      </c>
    </row>
    <row r="116" spans="2:6" ht="14.65" customHeight="1" x14ac:dyDescent="0.25">
      <c r="B116" s="77"/>
      <c r="C116" s="399"/>
      <c r="D116" s="402"/>
      <c r="E116" s="408" t="e">
        <f>LOOKUP(C116,'KHG eriheitetegurid'!$B$148:$B$158,'KHG eriheitetegurid'!$D$148:$D$158)</f>
        <v>#N/A</v>
      </c>
      <c r="F116" s="409" t="str">
        <f t="shared" ref="F116:F140" si="1">_xlfn.IFNA(D116*E116/1000,"")</f>
        <v/>
      </c>
    </row>
    <row r="117" spans="2:6" ht="14.65" customHeight="1" x14ac:dyDescent="0.25">
      <c r="B117" s="77"/>
      <c r="C117" s="399"/>
      <c r="D117" s="402"/>
      <c r="E117" s="408" t="e">
        <f>LOOKUP(C117,'KHG eriheitetegurid'!$B$148:$B$158,'KHG eriheitetegurid'!$D$148:$D$158)</f>
        <v>#N/A</v>
      </c>
      <c r="F117" s="409" t="str">
        <f t="shared" si="1"/>
        <v/>
      </c>
    </row>
    <row r="118" spans="2:6" ht="14.65" customHeight="1" x14ac:dyDescent="0.25">
      <c r="B118" s="77"/>
      <c r="C118" s="399"/>
      <c r="D118" s="402"/>
      <c r="E118" s="408" t="e">
        <f>LOOKUP(C118,'KHG eriheitetegurid'!$B$148:$B$158,'KHG eriheitetegurid'!$D$148:$D$158)</f>
        <v>#N/A</v>
      </c>
      <c r="F118" s="409" t="str">
        <f t="shared" si="1"/>
        <v/>
      </c>
    </row>
    <row r="119" spans="2:6" ht="14.65" customHeight="1" x14ac:dyDescent="0.25">
      <c r="B119" s="77"/>
      <c r="C119" s="399"/>
      <c r="D119" s="402"/>
      <c r="E119" s="408" t="e">
        <f>LOOKUP(C119,'KHG eriheitetegurid'!$B$148:$B$158,'KHG eriheitetegurid'!$D$148:$D$158)</f>
        <v>#N/A</v>
      </c>
      <c r="F119" s="409" t="str">
        <f t="shared" si="1"/>
        <v/>
      </c>
    </row>
    <row r="120" spans="2:6" ht="14.65" customHeight="1" x14ac:dyDescent="0.25">
      <c r="B120" s="77"/>
      <c r="C120" s="399"/>
      <c r="D120" s="402"/>
      <c r="E120" s="408" t="e">
        <f>LOOKUP(C120,'KHG eriheitetegurid'!$B$148:$B$158,'KHG eriheitetegurid'!$D$148:$D$158)</f>
        <v>#N/A</v>
      </c>
      <c r="F120" s="409" t="str">
        <f t="shared" si="1"/>
        <v/>
      </c>
    </row>
    <row r="121" spans="2:6" ht="14.65" customHeight="1" thickBot="1" x14ac:dyDescent="0.3">
      <c r="B121" s="91"/>
      <c r="C121" s="401"/>
      <c r="D121" s="403"/>
      <c r="E121" s="410" t="e">
        <f>LOOKUP(C121,'KHG eriheitetegurid'!$B$148:$B$158,'KHG eriheitetegurid'!$D$148:$D$158)</f>
        <v>#N/A</v>
      </c>
      <c r="F121" s="409" t="str">
        <f t="shared" si="1"/>
        <v/>
      </c>
    </row>
    <row r="122" spans="2:6" ht="14.65" customHeight="1" thickBot="1" x14ac:dyDescent="0.3">
      <c r="B122" s="91"/>
      <c r="C122" s="222" t="s">
        <v>101</v>
      </c>
      <c r="D122" s="242"/>
      <c r="E122" s="243"/>
      <c r="F122" s="407">
        <f>SUM(F111:F121)</f>
        <v>0</v>
      </c>
    </row>
    <row r="123" spans="2:6" ht="14.65" customHeight="1" x14ac:dyDescent="0.25">
      <c r="C123"/>
      <c r="D123"/>
      <c r="F123"/>
    </row>
    <row r="124" spans="2:6" ht="14.65" customHeight="1" thickBot="1" x14ac:dyDescent="0.3">
      <c r="C124"/>
      <c r="D124"/>
      <c r="F124"/>
    </row>
    <row r="125" spans="2:6" ht="14.65" customHeight="1" x14ac:dyDescent="0.25">
      <c r="B125" s="591" t="s">
        <v>9</v>
      </c>
      <c r="C125" s="591" t="s">
        <v>10</v>
      </c>
      <c r="D125" s="629" t="s">
        <v>98</v>
      </c>
      <c r="E125" s="632" t="s">
        <v>99</v>
      </c>
      <c r="F125" s="601" t="s">
        <v>90</v>
      </c>
    </row>
    <row r="126" spans="2:6" ht="14.65" customHeight="1" x14ac:dyDescent="0.25">
      <c r="B126" s="592"/>
      <c r="C126" s="592"/>
      <c r="D126" s="630"/>
      <c r="E126" s="633"/>
      <c r="F126" s="602"/>
    </row>
    <row r="127" spans="2:6" ht="14.65" customHeight="1" x14ac:dyDescent="0.25">
      <c r="B127" s="592"/>
      <c r="C127" s="592"/>
      <c r="D127" s="630"/>
      <c r="E127" s="633"/>
      <c r="F127" s="602"/>
    </row>
    <row r="128" spans="2:6" ht="14.65" customHeight="1" thickBot="1" x14ac:dyDescent="0.3">
      <c r="B128" s="593"/>
      <c r="C128" s="593"/>
      <c r="D128" s="631"/>
      <c r="E128" s="634"/>
      <c r="F128" s="628"/>
    </row>
    <row r="129" spans="2:6" ht="14.65" customHeight="1" x14ac:dyDescent="0.25">
      <c r="B129" s="128">
        <f>ÜLDANDMED!I11</f>
        <v>2028</v>
      </c>
      <c r="C129" s="76" t="s">
        <v>100</v>
      </c>
      <c r="D129" s="164"/>
      <c r="E129" s="192"/>
      <c r="F129" s="244"/>
    </row>
    <row r="130" spans="2:6" ht="14.65" customHeight="1" x14ac:dyDescent="0.25">
      <c r="B130" s="77"/>
      <c r="C130" s="399"/>
      <c r="D130" s="404"/>
      <c r="E130" s="411" t="e">
        <f>LOOKUP(C130,'KHG eriheitetegurid'!$B$148:$B$158,'KHG eriheitetegurid'!$D$148:$D$158)</f>
        <v>#N/A</v>
      </c>
      <c r="F130" s="409" t="str">
        <f t="shared" si="1"/>
        <v/>
      </c>
    </row>
    <row r="131" spans="2:6" ht="14.65" customHeight="1" x14ac:dyDescent="0.25">
      <c r="B131" s="77"/>
      <c r="C131" s="399"/>
      <c r="D131" s="405"/>
      <c r="E131" s="408" t="e">
        <f>LOOKUP(C131,'KHG eriheitetegurid'!$B$148:$B$158,'KHG eriheitetegurid'!$D$148:$D$158)</f>
        <v>#N/A</v>
      </c>
      <c r="F131" s="409" t="str">
        <f t="shared" si="1"/>
        <v/>
      </c>
    </row>
    <row r="132" spans="2:6" ht="14.65" customHeight="1" x14ac:dyDescent="0.25">
      <c r="B132" s="77"/>
      <c r="C132" s="399"/>
      <c r="D132" s="405"/>
      <c r="E132" s="408" t="e">
        <f>LOOKUP(C132,'KHG eriheitetegurid'!$B$148:$B$158,'KHG eriheitetegurid'!$D$148:$D$158)</f>
        <v>#N/A</v>
      </c>
      <c r="F132" s="409" t="str">
        <f t="shared" si="1"/>
        <v/>
      </c>
    </row>
    <row r="133" spans="2:6" ht="14.65" customHeight="1" x14ac:dyDescent="0.25">
      <c r="B133" s="77"/>
      <c r="C133" s="399"/>
      <c r="D133" s="405"/>
      <c r="E133" s="408" t="e">
        <f>LOOKUP(C133,'KHG eriheitetegurid'!$B$148:$B$158,'KHG eriheitetegurid'!$D$148:$D$158)</f>
        <v>#N/A</v>
      </c>
      <c r="F133" s="409" t="str">
        <f t="shared" si="1"/>
        <v/>
      </c>
    </row>
    <row r="134" spans="2:6" ht="14.65" customHeight="1" x14ac:dyDescent="0.25">
      <c r="B134" s="77"/>
      <c r="C134" s="399"/>
      <c r="D134" s="405"/>
      <c r="E134" s="408" t="e">
        <f>LOOKUP(C134,'KHG eriheitetegurid'!$B$148:$B$158,'KHG eriheitetegurid'!$D$148:$D$158)</f>
        <v>#N/A</v>
      </c>
      <c r="F134" s="409" t="str">
        <f t="shared" si="1"/>
        <v/>
      </c>
    </row>
    <row r="135" spans="2:6" ht="14.65" customHeight="1" x14ac:dyDescent="0.25">
      <c r="B135" s="77"/>
      <c r="C135" s="399"/>
      <c r="D135" s="405"/>
      <c r="E135" s="408" t="e">
        <f>LOOKUP(C135,'KHG eriheitetegurid'!$B$148:$B$158,'KHG eriheitetegurid'!$D$148:$D$158)</f>
        <v>#N/A</v>
      </c>
      <c r="F135" s="409" t="str">
        <f t="shared" si="1"/>
        <v/>
      </c>
    </row>
    <row r="136" spans="2:6" ht="14.65" customHeight="1" x14ac:dyDescent="0.25">
      <c r="B136" s="77"/>
      <c r="C136" s="399"/>
      <c r="D136" s="405"/>
      <c r="E136" s="408" t="e">
        <f>LOOKUP(C136,'KHG eriheitetegurid'!$B$148:$B$158,'KHG eriheitetegurid'!$D$148:$D$158)</f>
        <v>#N/A</v>
      </c>
      <c r="F136" s="409" t="str">
        <f t="shared" si="1"/>
        <v/>
      </c>
    </row>
    <row r="137" spans="2:6" ht="14.65" customHeight="1" x14ac:dyDescent="0.25">
      <c r="B137" s="77"/>
      <c r="C137" s="399"/>
      <c r="D137" s="405"/>
      <c r="E137" s="408" t="e">
        <f>LOOKUP(C137,'KHG eriheitetegurid'!$B$148:$B$158,'KHG eriheitetegurid'!$D$148:$D$158)</f>
        <v>#N/A</v>
      </c>
      <c r="F137" s="409" t="str">
        <f t="shared" si="1"/>
        <v/>
      </c>
    </row>
    <row r="138" spans="2:6" ht="14.65" customHeight="1" x14ac:dyDescent="0.25">
      <c r="B138" s="77"/>
      <c r="C138" s="399"/>
      <c r="D138" s="405"/>
      <c r="E138" s="408" t="e">
        <f>LOOKUP(C138,'KHG eriheitetegurid'!$B$148:$B$158,'KHG eriheitetegurid'!$D$148:$D$158)</f>
        <v>#N/A</v>
      </c>
      <c r="F138" s="409" t="str">
        <f t="shared" si="1"/>
        <v/>
      </c>
    </row>
    <row r="139" spans="2:6" ht="14.65" customHeight="1" x14ac:dyDescent="0.25">
      <c r="B139" s="77"/>
      <c r="C139" s="399"/>
      <c r="D139" s="405"/>
      <c r="E139" s="408" t="e">
        <f>LOOKUP(C139,'KHG eriheitetegurid'!$B$148:$B$158,'KHG eriheitetegurid'!$D$148:$D$158)</f>
        <v>#N/A</v>
      </c>
      <c r="F139" s="409" t="str">
        <f t="shared" si="1"/>
        <v/>
      </c>
    </row>
    <row r="140" spans="2:6" ht="14.65" customHeight="1" thickBot="1" x14ac:dyDescent="0.3">
      <c r="B140" s="91"/>
      <c r="C140" s="401"/>
      <c r="D140" s="406"/>
      <c r="E140" s="412" t="e">
        <f>LOOKUP(C140,'KHG eriheitetegurid'!$B$148:$B$158,'KHG eriheitetegurid'!$D$148:$D$158)</f>
        <v>#N/A</v>
      </c>
      <c r="F140" s="413" t="str">
        <f t="shared" si="1"/>
        <v/>
      </c>
    </row>
    <row r="141" spans="2:6" ht="14.65" customHeight="1" thickBot="1" x14ac:dyDescent="0.3">
      <c r="B141" s="91"/>
      <c r="C141" s="222" t="s">
        <v>101</v>
      </c>
      <c r="D141" s="242"/>
      <c r="E141" s="243"/>
      <c r="F141" s="407">
        <f>SUM(F130:F140)</f>
        <v>0</v>
      </c>
    </row>
  </sheetData>
  <mergeCells count="36">
    <mergeCell ref="B125:B128"/>
    <mergeCell ref="C125:C128"/>
    <mergeCell ref="D125:D128"/>
    <mergeCell ref="E125:E128"/>
    <mergeCell ref="F125:F128"/>
    <mergeCell ref="B106:B109"/>
    <mergeCell ref="C106:C109"/>
    <mergeCell ref="D106:D109"/>
    <mergeCell ref="E106:E109"/>
    <mergeCell ref="F106:F109"/>
    <mergeCell ref="B87:B90"/>
    <mergeCell ref="C87:C90"/>
    <mergeCell ref="D87:D90"/>
    <mergeCell ref="E87:E90"/>
    <mergeCell ref="F87:F90"/>
    <mergeCell ref="B68:B71"/>
    <mergeCell ref="C68:C71"/>
    <mergeCell ref="D68:D71"/>
    <mergeCell ref="E68:E71"/>
    <mergeCell ref="F68:F71"/>
    <mergeCell ref="B49:B52"/>
    <mergeCell ref="C49:C52"/>
    <mergeCell ref="D49:D52"/>
    <mergeCell ref="E49:E52"/>
    <mergeCell ref="F49:F52"/>
    <mergeCell ref="B30:B33"/>
    <mergeCell ref="C30:C33"/>
    <mergeCell ref="D30:D33"/>
    <mergeCell ref="E30:E33"/>
    <mergeCell ref="F30:F33"/>
    <mergeCell ref="B11:B14"/>
    <mergeCell ref="C11:C14"/>
    <mergeCell ref="D11:D14"/>
    <mergeCell ref="E11:E14"/>
    <mergeCell ref="B4:K4"/>
    <mergeCell ref="F11:F14"/>
  </mergeCells>
  <hyperlinks>
    <hyperlink ref="B4:K4" r:id="rId1" display="https://klab.ee/f-gaasid/f-gaaside-co%e2%82%82-ekvivalendi-kalkulaator/" xr:uid="{EA0A49AD-BB38-4E2A-8A84-6F5973CE80C9}"/>
  </hyperlinks>
  <pageMargins left="0.70866141732283472" right="0.70866141732283472" top="0.74803149606299213" bottom="0.74803149606299213" header="0.31496062992125984" footer="0.31496062992125984"/>
  <pageSetup scale="77" fitToHeight="2" orientation="portrait" horizontalDpi="4294967295" verticalDpi="4294967295" r:id="rId2"/>
  <extLst>
    <ext xmlns:x14="http://schemas.microsoft.com/office/spreadsheetml/2009/9/main" uri="{CCE6A557-97BC-4b89-ADB6-D9C93CAAB3DF}">
      <x14:dataValidations xmlns:xm="http://schemas.microsoft.com/office/excel/2006/main" count="1">
        <x14:dataValidation type="list" allowBlank="1" showInputMessage="1" showErrorMessage="1" xr:uid="{49E4E3A6-A5CF-4C72-8A09-40E579C1C6B7}">
          <x14:formula1>
            <xm:f>'KHG eriheitetegurid'!$B$148:$B$158</xm:f>
          </x14:formula1>
          <xm:sqref>C111:C121 C73:C83 C130:C140 C92:C102 C35:C45 C54:C64 C17:C26 C16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690FE-85E0-4CCB-96C5-5FF0FDFE5546}">
  <sheetPr>
    <tabColor rgb="FFFB8604"/>
    <pageSetUpPr fitToPage="1"/>
  </sheetPr>
  <dimension ref="B2:N168"/>
  <sheetViews>
    <sheetView showGridLines="0" zoomScaleNormal="100" workbookViewId="0">
      <pane xSplit="1" ySplit="2" topLeftCell="B3" activePane="bottomRight" state="frozen"/>
      <selection pane="topRight" activeCell="B1" sqref="B1"/>
      <selection pane="bottomLeft" activeCell="A3" sqref="A3"/>
      <selection pane="bottomRight" activeCell="E49" sqref="E49"/>
    </sheetView>
  </sheetViews>
  <sheetFormatPr defaultRowHeight="14.65" customHeight="1" x14ac:dyDescent="0.25"/>
  <cols>
    <col min="1" max="1" width="2.5703125" customWidth="1"/>
    <col min="2" max="2" width="7.5703125" customWidth="1"/>
    <col min="3" max="3" width="40.28515625" style="3" customWidth="1"/>
    <col min="4" max="4" width="15.7109375" style="68" customWidth="1"/>
    <col min="5" max="5" width="15.7109375" style="39" customWidth="1"/>
    <col min="6" max="6" width="15.7109375" style="68" customWidth="1"/>
  </cols>
  <sheetData>
    <row r="2" spans="2:11" ht="18.600000000000001" customHeight="1" x14ac:dyDescent="0.35">
      <c r="B2" s="28" t="s">
        <v>102</v>
      </c>
      <c r="C2" s="129"/>
    </row>
    <row r="3" spans="2:11" ht="14.65" customHeight="1" x14ac:dyDescent="0.3">
      <c r="C3" s="79"/>
    </row>
    <row r="4" spans="2:11" ht="201" customHeight="1" x14ac:dyDescent="0.25">
      <c r="B4" s="548" t="s">
        <v>374</v>
      </c>
      <c r="C4" s="555"/>
      <c r="D4" s="555"/>
      <c r="E4" s="555"/>
      <c r="F4" s="556"/>
    </row>
    <row r="6" spans="2:11" ht="14.65" customHeight="1" x14ac:dyDescent="0.25">
      <c r="B6" s="60" t="s">
        <v>2</v>
      </c>
      <c r="C6" s="80"/>
    </row>
    <row r="7" spans="2:11" ht="14.65" customHeight="1" x14ac:dyDescent="0.25">
      <c r="C7" s="378" t="s">
        <v>3</v>
      </c>
      <c r="D7"/>
      <c r="E7" s="3"/>
      <c r="F7"/>
      <c r="G7" s="68"/>
      <c r="H7" s="3"/>
      <c r="J7" s="3"/>
      <c r="K7" s="39"/>
    </row>
    <row r="8" spans="2:11" ht="14.65" customHeight="1" x14ac:dyDescent="0.25">
      <c r="C8" s="340" t="s">
        <v>4</v>
      </c>
      <c r="D8"/>
      <c r="E8" s="3"/>
      <c r="F8"/>
      <c r="G8" s="3"/>
      <c r="I8" s="3"/>
      <c r="J8" s="39"/>
    </row>
    <row r="9" spans="2:11" ht="14.65" customHeight="1" thickBot="1" x14ac:dyDescent="0.3"/>
    <row r="10" spans="2:11" ht="14.65" customHeight="1" x14ac:dyDescent="0.25">
      <c r="B10" s="591" t="s">
        <v>9</v>
      </c>
      <c r="C10" s="591" t="s">
        <v>10</v>
      </c>
      <c r="D10" s="626" t="s">
        <v>103</v>
      </c>
      <c r="E10" s="632" t="s">
        <v>104</v>
      </c>
      <c r="F10" s="626" t="s">
        <v>105</v>
      </c>
    </row>
    <row r="11" spans="2:11" ht="14.65" customHeight="1" x14ac:dyDescent="0.25">
      <c r="B11" s="592"/>
      <c r="C11" s="592"/>
      <c r="D11" s="638"/>
      <c r="E11" s="633"/>
      <c r="F11" s="638"/>
    </row>
    <row r="12" spans="2:11" ht="14.65" customHeight="1" thickBot="1" x14ac:dyDescent="0.3">
      <c r="B12" s="593"/>
      <c r="C12" s="593"/>
      <c r="D12" s="627"/>
      <c r="E12" s="634"/>
      <c r="F12" s="627"/>
    </row>
    <row r="13" spans="2:11" ht="14.65" customHeight="1" x14ac:dyDescent="0.25">
      <c r="B13" s="104">
        <f>ÜLDANDMED!C11</f>
        <v>2022</v>
      </c>
      <c r="C13" s="213" t="s">
        <v>106</v>
      </c>
      <c r="D13" s="70" t="s">
        <v>107</v>
      </c>
      <c r="E13" s="205" t="s">
        <v>108</v>
      </c>
      <c r="F13" s="205" t="s">
        <v>108</v>
      </c>
    </row>
    <row r="14" spans="2:11" ht="14.65" customHeight="1" x14ac:dyDescent="0.25">
      <c r="B14" s="82"/>
      <c r="C14" s="214" t="s">
        <v>109</v>
      </c>
      <c r="D14" s="418"/>
      <c r="E14" s="415">
        <f>D14*sõiduauto_bensiin_2022/1000</f>
        <v>0</v>
      </c>
      <c r="F14" s="420"/>
    </row>
    <row r="15" spans="2:11" ht="14.65" customHeight="1" x14ac:dyDescent="0.25">
      <c r="B15" s="82"/>
      <c r="C15" s="214" t="s">
        <v>110</v>
      </c>
      <c r="D15" s="418"/>
      <c r="E15" s="415">
        <f>D15*sõiduauto_diisel_2022/1000</f>
        <v>0</v>
      </c>
      <c r="F15" s="418"/>
    </row>
    <row r="16" spans="2:11" ht="14.65" customHeight="1" x14ac:dyDescent="0.25">
      <c r="B16" s="82"/>
      <c r="C16" s="214" t="s">
        <v>352</v>
      </c>
      <c r="D16" s="419"/>
      <c r="E16" s="415">
        <f>D16*sõiduauto_bioCNG_2022/1000</f>
        <v>0</v>
      </c>
      <c r="F16" s="419"/>
    </row>
    <row r="17" spans="2:14" ht="14.65" customHeight="1" x14ac:dyDescent="0.25">
      <c r="B17" s="82"/>
      <c r="C17" s="214" t="s">
        <v>353</v>
      </c>
      <c r="D17" s="419"/>
      <c r="E17" s="415">
        <f>D17*sõiduauto_CNG_2022/1000</f>
        <v>0</v>
      </c>
      <c r="F17" s="419"/>
    </row>
    <row r="18" spans="2:14" ht="14.65" customHeight="1" x14ac:dyDescent="0.25">
      <c r="B18" s="82"/>
      <c r="C18" s="81" t="s">
        <v>350</v>
      </c>
      <c r="D18" s="419"/>
      <c r="E18" s="415">
        <f>D18*sõiduauto_hübriid_2022/1000</f>
        <v>0</v>
      </c>
      <c r="F18" s="419"/>
    </row>
    <row r="19" spans="2:14" ht="14.65" customHeight="1" x14ac:dyDescent="0.25">
      <c r="B19" s="82"/>
      <c r="C19" s="214" t="s">
        <v>111</v>
      </c>
      <c r="D19" s="419"/>
      <c r="E19" s="415">
        <f>D19*sõiduauto_taastuvelekter/1000</f>
        <v>0</v>
      </c>
      <c r="F19" s="419"/>
    </row>
    <row r="20" spans="2:14" ht="14.65" customHeight="1" x14ac:dyDescent="0.25">
      <c r="B20" s="82"/>
      <c r="C20" s="214" t="s">
        <v>112</v>
      </c>
      <c r="D20" s="419"/>
      <c r="E20" s="416">
        <f>D20*sõiduauto_tavaelekter_2022/1000</f>
        <v>0</v>
      </c>
      <c r="F20" s="424"/>
    </row>
    <row r="21" spans="2:14" ht="14.65" customHeight="1" thickBot="1" x14ac:dyDescent="0.3">
      <c r="B21" s="77"/>
      <c r="C21" s="275" t="s">
        <v>113</v>
      </c>
      <c r="D21" s="398"/>
      <c r="E21" s="415">
        <f>D21*sõiduk_takso_2022/1000</f>
        <v>0</v>
      </c>
      <c r="F21" s="398"/>
    </row>
    <row r="22" spans="2:14" ht="14.65" customHeight="1" x14ac:dyDescent="0.25">
      <c r="B22" s="77"/>
      <c r="C22" s="215" t="s">
        <v>114</v>
      </c>
      <c r="D22" s="70" t="s">
        <v>115</v>
      </c>
      <c r="E22" s="153" t="s">
        <v>108</v>
      </c>
      <c r="F22" s="223" t="s">
        <v>108</v>
      </c>
    </row>
    <row r="23" spans="2:14" ht="14.65" customHeight="1" x14ac:dyDescent="0.25">
      <c r="B23" s="77"/>
      <c r="C23" s="216" t="s">
        <v>116</v>
      </c>
      <c r="D23" s="398"/>
      <c r="E23" s="415">
        <f>D23*sõiduk_buss_kaugliin_2022/1000</f>
        <v>0</v>
      </c>
      <c r="F23" s="398"/>
    </row>
    <row r="24" spans="2:14" ht="14.65" customHeight="1" x14ac:dyDescent="0.25">
      <c r="B24" s="77"/>
      <c r="C24" s="216" t="s">
        <v>117</v>
      </c>
      <c r="D24" s="398"/>
      <c r="E24" s="415">
        <f>D24*sõiduk_buss_linnaliin_Tallinn_2022/1000</f>
        <v>0</v>
      </c>
      <c r="F24" s="398"/>
    </row>
    <row r="25" spans="2:14" ht="14.65" customHeight="1" x14ac:dyDescent="0.25">
      <c r="B25" s="77"/>
      <c r="C25" s="216" t="s">
        <v>118</v>
      </c>
      <c r="D25" s="398"/>
      <c r="E25" s="415">
        <f>D25*sõiduk_buss_linnaliin_Eesti_2022/1000</f>
        <v>0</v>
      </c>
      <c r="F25" s="398"/>
    </row>
    <row r="26" spans="2:14" ht="14.65" customHeight="1" x14ac:dyDescent="0.25">
      <c r="B26" s="77"/>
      <c r="C26" s="216" t="s">
        <v>119</v>
      </c>
      <c r="D26" s="398"/>
      <c r="E26" s="415">
        <f>D26*sõiduk_diiselrong_2022/1000</f>
        <v>0</v>
      </c>
      <c r="F26" s="398"/>
    </row>
    <row r="27" spans="2:14" ht="14.65" customHeight="1" x14ac:dyDescent="0.25">
      <c r="B27" s="77"/>
      <c r="C27" s="216" t="s">
        <v>120</v>
      </c>
      <c r="D27" s="398"/>
      <c r="E27" s="415">
        <f>D27*sõiduk_elektrirong/1000</f>
        <v>0</v>
      </c>
      <c r="F27" s="398"/>
    </row>
    <row r="28" spans="2:14" ht="14.65" customHeight="1" x14ac:dyDescent="0.25">
      <c r="B28" s="77"/>
      <c r="C28" s="217" t="s">
        <v>121</v>
      </c>
      <c r="D28" s="398"/>
      <c r="E28" s="415">
        <f>D28*sõiduk_laev_2022/1000</f>
        <v>0</v>
      </c>
      <c r="F28" s="398"/>
      <c r="N28" s="49"/>
    </row>
    <row r="29" spans="2:14" ht="14.65" customHeight="1" thickBot="1" x14ac:dyDescent="0.3">
      <c r="B29" s="77"/>
      <c r="C29" s="214" t="s">
        <v>122</v>
      </c>
      <c r="D29" s="398"/>
      <c r="E29" s="415">
        <f>D29*sõiduk_lennuk_2022/1000</f>
        <v>0</v>
      </c>
      <c r="F29" s="398"/>
    </row>
    <row r="30" spans="2:14" ht="14.65" customHeight="1" thickBot="1" x14ac:dyDescent="0.3">
      <c r="B30" s="130"/>
      <c r="C30" s="222" t="s">
        <v>123</v>
      </c>
      <c r="D30" s="224"/>
      <c r="E30" s="639">
        <f>SUM(E14:E21,E23:E29,F14:F21,F23:F29)</f>
        <v>0</v>
      </c>
      <c r="F30" s="640"/>
    </row>
    <row r="31" spans="2:14" ht="14.65" customHeight="1" x14ac:dyDescent="0.25">
      <c r="C31"/>
      <c r="D31"/>
      <c r="E31"/>
      <c r="F31"/>
    </row>
    <row r="32" spans="2:14" ht="14.65" customHeight="1" thickBot="1" x14ac:dyDescent="0.3">
      <c r="C32"/>
      <c r="D32"/>
      <c r="E32"/>
      <c r="F32"/>
    </row>
    <row r="33" spans="2:6" ht="14.65" customHeight="1" x14ac:dyDescent="0.25">
      <c r="B33" s="591" t="s">
        <v>9</v>
      </c>
      <c r="C33" s="591" t="s">
        <v>10</v>
      </c>
      <c r="D33" s="626" t="s">
        <v>103</v>
      </c>
      <c r="E33" s="632" t="s">
        <v>104</v>
      </c>
      <c r="F33" s="626" t="s">
        <v>105</v>
      </c>
    </row>
    <row r="34" spans="2:6" ht="14.65" customHeight="1" x14ac:dyDescent="0.25">
      <c r="B34" s="592"/>
      <c r="C34" s="592"/>
      <c r="D34" s="638"/>
      <c r="E34" s="633"/>
      <c r="F34" s="638"/>
    </row>
    <row r="35" spans="2:6" ht="14.65" customHeight="1" thickBot="1" x14ac:dyDescent="0.3">
      <c r="B35" s="593"/>
      <c r="C35" s="593"/>
      <c r="D35" s="627"/>
      <c r="E35" s="634"/>
      <c r="F35" s="627"/>
    </row>
    <row r="36" spans="2:6" ht="14.65" customHeight="1" x14ac:dyDescent="0.25">
      <c r="B36" s="104">
        <f>ÜLDANDMED!D11</f>
        <v>2023</v>
      </c>
      <c r="C36" s="76" t="s">
        <v>106</v>
      </c>
      <c r="D36" s="70" t="s">
        <v>107</v>
      </c>
      <c r="E36" s="148" t="s">
        <v>108</v>
      </c>
      <c r="F36" s="205" t="s">
        <v>108</v>
      </c>
    </row>
    <row r="37" spans="2:6" ht="14.65" customHeight="1" x14ac:dyDescent="0.25">
      <c r="B37" s="82"/>
      <c r="C37" s="81" t="s">
        <v>109</v>
      </c>
      <c r="D37" s="418"/>
      <c r="E37" s="415">
        <f>D37*sõiduauto_bensiin_2023/1000</f>
        <v>0</v>
      </c>
      <c r="F37" s="420"/>
    </row>
    <row r="38" spans="2:6" ht="14.65" customHeight="1" x14ac:dyDescent="0.25">
      <c r="B38" s="82"/>
      <c r="C38" s="81" t="s">
        <v>110</v>
      </c>
      <c r="D38" s="418"/>
      <c r="E38" s="415">
        <f>D38*sõiduauto_diisel_2023/1000</f>
        <v>0</v>
      </c>
      <c r="F38" s="421"/>
    </row>
    <row r="39" spans="2:6" ht="14.65" customHeight="1" x14ac:dyDescent="0.25">
      <c r="B39" s="82"/>
      <c r="C39" s="214" t="s">
        <v>352</v>
      </c>
      <c r="D39" s="419"/>
      <c r="E39" s="415">
        <f>D39*sõiduauto_bioCNG_2023/1000</f>
        <v>0</v>
      </c>
      <c r="F39" s="420"/>
    </row>
    <row r="40" spans="2:6" ht="14.65" customHeight="1" x14ac:dyDescent="0.25">
      <c r="B40" s="82"/>
      <c r="C40" s="214" t="s">
        <v>353</v>
      </c>
      <c r="D40" s="419"/>
      <c r="E40" s="415">
        <f>D40*sõiduauto_CNG_2022/1000</f>
        <v>0</v>
      </c>
      <c r="F40" s="419"/>
    </row>
    <row r="41" spans="2:6" ht="14.65" customHeight="1" x14ac:dyDescent="0.25">
      <c r="B41" s="82"/>
      <c r="C41" s="81" t="s">
        <v>350</v>
      </c>
      <c r="D41" s="419"/>
      <c r="E41" s="415">
        <f>D41*sõiduauto_hübriid_2023/1000</f>
        <v>0</v>
      </c>
      <c r="F41" s="420"/>
    </row>
    <row r="42" spans="2:6" ht="14.65" customHeight="1" x14ac:dyDescent="0.25">
      <c r="B42" s="82"/>
      <c r="C42" s="81" t="s">
        <v>111</v>
      </c>
      <c r="D42" s="419"/>
      <c r="E42" s="415">
        <f>D42*sõiduauto_taastuvelekter/1000</f>
        <v>0</v>
      </c>
      <c r="F42" s="420"/>
    </row>
    <row r="43" spans="2:6" ht="14.65" customHeight="1" x14ac:dyDescent="0.25">
      <c r="B43" s="82"/>
      <c r="C43" s="81" t="s">
        <v>112</v>
      </c>
      <c r="D43" s="419"/>
      <c r="E43" s="415">
        <f>D43*sõiduauto_tavaelekter_2023/1000</f>
        <v>0</v>
      </c>
      <c r="F43" s="420"/>
    </row>
    <row r="44" spans="2:6" ht="14.65" customHeight="1" thickBot="1" x14ac:dyDescent="0.3">
      <c r="B44" s="77"/>
      <c r="C44" s="71" t="s">
        <v>113</v>
      </c>
      <c r="D44" s="398"/>
      <c r="E44" s="415">
        <f>D44*sõiduk_takso_2023/1000</f>
        <v>0</v>
      </c>
      <c r="F44" s="423"/>
    </row>
    <row r="45" spans="2:6" ht="14.65" customHeight="1" x14ac:dyDescent="0.25">
      <c r="B45" s="77"/>
      <c r="C45" s="148" t="s">
        <v>114</v>
      </c>
      <c r="D45" s="70" t="s">
        <v>115</v>
      </c>
      <c r="E45" s="148" t="s">
        <v>108</v>
      </c>
      <c r="F45" s="205" t="s">
        <v>108</v>
      </c>
    </row>
    <row r="46" spans="2:6" ht="14.65" customHeight="1" x14ac:dyDescent="0.25">
      <c r="B46" s="77"/>
      <c r="C46" s="71" t="s">
        <v>116</v>
      </c>
      <c r="D46" s="398"/>
      <c r="E46" s="415">
        <f>D46*sõiduk_buss_kaugliin_2023/1000</f>
        <v>0</v>
      </c>
      <c r="F46" s="398"/>
    </row>
    <row r="47" spans="2:6" ht="14.65" customHeight="1" x14ac:dyDescent="0.25">
      <c r="B47" s="77"/>
      <c r="C47" s="216" t="s">
        <v>117</v>
      </c>
      <c r="D47" s="398"/>
      <c r="E47" s="415">
        <f>D47*sõiduk_buss_linnaliin_Tallinn_2023/1000</f>
        <v>0</v>
      </c>
      <c r="F47" s="398"/>
    </row>
    <row r="48" spans="2:6" ht="14.65" customHeight="1" x14ac:dyDescent="0.25">
      <c r="B48" s="77"/>
      <c r="C48" s="216" t="s">
        <v>118</v>
      </c>
      <c r="D48" s="398"/>
      <c r="E48" s="415">
        <f>D48*sõiduk_buss_linnaliin_Eesti_2023/1000</f>
        <v>0</v>
      </c>
      <c r="F48" s="398"/>
    </row>
    <row r="49" spans="2:14" ht="14.65" customHeight="1" x14ac:dyDescent="0.25">
      <c r="B49" s="77"/>
      <c r="C49" s="71" t="s">
        <v>119</v>
      </c>
      <c r="D49" s="398"/>
      <c r="E49" s="415">
        <f>D49*sõiduk_diiselrong_2023/1000</f>
        <v>0</v>
      </c>
      <c r="F49" s="398"/>
    </row>
    <row r="50" spans="2:14" ht="14.65" customHeight="1" x14ac:dyDescent="0.25">
      <c r="B50" s="77"/>
      <c r="C50" s="71" t="s">
        <v>120</v>
      </c>
      <c r="D50" s="398"/>
      <c r="E50" s="415">
        <f>D50*sõiduk_elektrirong/1000</f>
        <v>0</v>
      </c>
      <c r="F50" s="398"/>
    </row>
    <row r="51" spans="2:14" ht="14.65" customHeight="1" x14ac:dyDescent="0.25">
      <c r="B51" s="77"/>
      <c r="C51" s="88" t="s">
        <v>121</v>
      </c>
      <c r="D51" s="398"/>
      <c r="E51" s="415">
        <f>D51*sõiduk_laev_2023/1000</f>
        <v>0</v>
      </c>
      <c r="F51" s="398"/>
      <c r="N51" s="49"/>
    </row>
    <row r="52" spans="2:14" ht="14.65" customHeight="1" thickBot="1" x14ac:dyDescent="0.3">
      <c r="B52" s="77"/>
      <c r="C52" s="81" t="s">
        <v>122</v>
      </c>
      <c r="D52" s="398"/>
      <c r="E52" s="415">
        <f>D52*sõiduk_lennuk_2023/1000</f>
        <v>0</v>
      </c>
      <c r="F52" s="398"/>
    </row>
    <row r="53" spans="2:14" ht="14.65" customHeight="1" thickBot="1" x14ac:dyDescent="0.3">
      <c r="B53" s="130"/>
      <c r="C53" s="222" t="s">
        <v>123</v>
      </c>
      <c r="D53" s="224"/>
      <c r="E53" s="639">
        <f>SUM(E37:E44,E46:E52,F37:F44,F46:F52)</f>
        <v>0</v>
      </c>
      <c r="F53" s="640"/>
    </row>
    <row r="54" spans="2:14" ht="14.65" customHeight="1" x14ac:dyDescent="0.25">
      <c r="C54"/>
      <c r="D54"/>
      <c r="E54"/>
      <c r="F54"/>
    </row>
    <row r="55" spans="2:14" ht="14.65" customHeight="1" thickBot="1" x14ac:dyDescent="0.3">
      <c r="C55"/>
      <c r="D55"/>
      <c r="E55"/>
      <c r="F55"/>
    </row>
    <row r="56" spans="2:14" ht="14.65" customHeight="1" x14ac:dyDescent="0.25">
      <c r="B56" s="591" t="s">
        <v>9</v>
      </c>
      <c r="C56" s="591" t="s">
        <v>10</v>
      </c>
      <c r="D56" s="626" t="s">
        <v>103</v>
      </c>
      <c r="E56" s="632" t="s">
        <v>104</v>
      </c>
      <c r="F56" s="626" t="s">
        <v>105</v>
      </c>
    </row>
    <row r="57" spans="2:14" ht="14.65" customHeight="1" x14ac:dyDescent="0.25">
      <c r="B57" s="592"/>
      <c r="C57" s="592"/>
      <c r="D57" s="638"/>
      <c r="E57" s="633"/>
      <c r="F57" s="638"/>
    </row>
    <row r="58" spans="2:14" ht="14.65" customHeight="1" thickBot="1" x14ac:dyDescent="0.3">
      <c r="B58" s="593"/>
      <c r="C58" s="593"/>
      <c r="D58" s="627"/>
      <c r="E58" s="634"/>
      <c r="F58" s="627"/>
    </row>
    <row r="59" spans="2:14" ht="14.65" customHeight="1" x14ac:dyDescent="0.25">
      <c r="B59" s="104">
        <f>ÜLDANDMED!E11</f>
        <v>2024</v>
      </c>
      <c r="C59" s="76" t="s">
        <v>106</v>
      </c>
      <c r="D59" s="70" t="s">
        <v>107</v>
      </c>
      <c r="E59" s="148" t="s">
        <v>108</v>
      </c>
      <c r="F59" s="205" t="s">
        <v>108</v>
      </c>
    </row>
    <row r="60" spans="2:14" ht="14.65" customHeight="1" x14ac:dyDescent="0.25">
      <c r="B60" s="82"/>
      <c r="C60" s="81" t="s">
        <v>109</v>
      </c>
      <c r="D60" s="418"/>
      <c r="E60" s="415">
        <f>D60*sõiduauto_bensiin_2024/1000</f>
        <v>0</v>
      </c>
      <c r="F60" s="420"/>
    </row>
    <row r="61" spans="2:14" ht="14.65" customHeight="1" x14ac:dyDescent="0.25">
      <c r="B61" s="82"/>
      <c r="C61" s="81" t="s">
        <v>110</v>
      </c>
      <c r="D61" s="418"/>
      <c r="E61" s="415">
        <f>D61*sõiduauto_diisel_2024/1000</f>
        <v>0</v>
      </c>
      <c r="F61" s="421"/>
    </row>
    <row r="62" spans="2:14" ht="14.65" customHeight="1" x14ac:dyDescent="0.25">
      <c r="B62" s="82"/>
      <c r="C62" s="214" t="s">
        <v>352</v>
      </c>
      <c r="D62" s="419"/>
      <c r="E62" s="415">
        <f>D62*sõiduauto_bioCNG_2024/1000</f>
        <v>0</v>
      </c>
      <c r="F62" s="420"/>
    </row>
    <row r="63" spans="2:14" ht="14.65" customHeight="1" x14ac:dyDescent="0.25">
      <c r="B63" s="82"/>
      <c r="C63" s="214" t="s">
        <v>353</v>
      </c>
      <c r="D63" s="419"/>
      <c r="E63" s="415">
        <f>D63*sõiduauto_CNG_2022/1000</f>
        <v>0</v>
      </c>
      <c r="F63" s="419"/>
    </row>
    <row r="64" spans="2:14" ht="14.65" customHeight="1" x14ac:dyDescent="0.25">
      <c r="B64" s="82"/>
      <c r="C64" s="81" t="s">
        <v>350</v>
      </c>
      <c r="D64" s="419"/>
      <c r="E64" s="415">
        <f>D64*sõiduauto_hübriid_2024/1000</f>
        <v>0</v>
      </c>
      <c r="F64" s="420"/>
    </row>
    <row r="65" spans="2:14" ht="14.65" customHeight="1" x14ac:dyDescent="0.25">
      <c r="B65" s="82"/>
      <c r="C65" s="81" t="s">
        <v>111</v>
      </c>
      <c r="D65" s="419"/>
      <c r="E65" s="415">
        <f>D65*sõiduauto_taastuvelekter/1000</f>
        <v>0</v>
      </c>
      <c r="F65" s="420"/>
    </row>
    <row r="66" spans="2:14" ht="14.65" customHeight="1" x14ac:dyDescent="0.25">
      <c r="B66" s="82"/>
      <c r="C66" s="81" t="s">
        <v>112</v>
      </c>
      <c r="D66" s="419"/>
      <c r="E66" s="415">
        <f>D66*sõiduauto_tavaelekter_2024/1000</f>
        <v>0</v>
      </c>
      <c r="F66" s="420"/>
    </row>
    <row r="67" spans="2:14" ht="14.65" customHeight="1" thickBot="1" x14ac:dyDescent="0.3">
      <c r="B67" s="77"/>
      <c r="C67" s="71" t="s">
        <v>113</v>
      </c>
      <c r="D67" s="398"/>
      <c r="E67" s="415">
        <f>D67*sõiduk_takso_2022/1000</f>
        <v>0</v>
      </c>
      <c r="F67" s="423"/>
    </row>
    <row r="68" spans="2:14" ht="14.65" customHeight="1" x14ac:dyDescent="0.25">
      <c r="B68" s="77"/>
      <c r="C68" s="148" t="s">
        <v>114</v>
      </c>
      <c r="D68" s="70" t="s">
        <v>115</v>
      </c>
      <c r="E68" s="148" t="s">
        <v>108</v>
      </c>
      <c r="F68" s="205" t="s">
        <v>108</v>
      </c>
    </row>
    <row r="69" spans="2:14" ht="14.65" customHeight="1" x14ac:dyDescent="0.25">
      <c r="B69" s="77"/>
      <c r="C69" s="71" t="s">
        <v>116</v>
      </c>
      <c r="D69" s="398"/>
      <c r="E69" s="415">
        <f>D69*sõiduk_buss_kaugliin_2024/1000</f>
        <v>0</v>
      </c>
      <c r="F69" s="398"/>
    </row>
    <row r="70" spans="2:14" ht="14.65" customHeight="1" x14ac:dyDescent="0.25">
      <c r="B70" s="77"/>
      <c r="C70" s="216" t="s">
        <v>117</v>
      </c>
      <c r="D70" s="398"/>
      <c r="E70" s="415">
        <f>D70*sõiduk_buss_linnaliin_Tallinn_2024/1000</f>
        <v>0</v>
      </c>
      <c r="F70" s="398"/>
    </row>
    <row r="71" spans="2:14" ht="14.65" customHeight="1" x14ac:dyDescent="0.25">
      <c r="B71" s="77"/>
      <c r="C71" s="216" t="s">
        <v>118</v>
      </c>
      <c r="D71" s="398"/>
      <c r="E71" s="415">
        <f>D71*sõiduk_buss_linnaliin_Eesti_2024/1000</f>
        <v>0</v>
      </c>
      <c r="F71" s="398"/>
    </row>
    <row r="72" spans="2:14" ht="14.65" customHeight="1" x14ac:dyDescent="0.25">
      <c r="B72" s="77"/>
      <c r="C72" s="71" t="s">
        <v>119</v>
      </c>
      <c r="D72" s="398"/>
      <c r="E72" s="415">
        <f>D72*sõiduk_diiselrong_2024/1000</f>
        <v>0</v>
      </c>
      <c r="F72" s="398"/>
    </row>
    <row r="73" spans="2:14" ht="14.65" customHeight="1" x14ac:dyDescent="0.25">
      <c r="B73" s="77"/>
      <c r="C73" s="71" t="s">
        <v>120</v>
      </c>
      <c r="D73" s="398"/>
      <c r="E73" s="415">
        <f>D73*sõiduk_elektrirong/1000</f>
        <v>0</v>
      </c>
      <c r="F73" s="398"/>
    </row>
    <row r="74" spans="2:14" ht="14.65" customHeight="1" x14ac:dyDescent="0.25">
      <c r="B74" s="77"/>
      <c r="C74" s="88" t="s">
        <v>121</v>
      </c>
      <c r="D74" s="398"/>
      <c r="E74" s="415">
        <f>D74*sõiduk_laev_2024/1000</f>
        <v>0</v>
      </c>
      <c r="F74" s="398"/>
      <c r="N74" s="49"/>
    </row>
    <row r="75" spans="2:14" ht="14.65" customHeight="1" thickBot="1" x14ac:dyDescent="0.3">
      <c r="B75" s="77"/>
      <c r="C75" s="81" t="s">
        <v>122</v>
      </c>
      <c r="D75" s="398"/>
      <c r="E75" s="415">
        <f>D75*sõiduk_lennuk_2024/1000</f>
        <v>0</v>
      </c>
      <c r="F75" s="398"/>
    </row>
    <row r="76" spans="2:14" ht="14.65" customHeight="1" thickBot="1" x14ac:dyDescent="0.3">
      <c r="B76" s="130"/>
      <c r="C76" s="222" t="s">
        <v>123</v>
      </c>
      <c r="D76" s="224"/>
      <c r="E76" s="639">
        <f>SUM(E60:E67,E69:E75,F60:F67,F69:F75)</f>
        <v>0</v>
      </c>
      <c r="F76" s="640"/>
    </row>
    <row r="77" spans="2:14" ht="14.65" customHeight="1" x14ac:dyDescent="0.25">
      <c r="C77"/>
      <c r="D77"/>
      <c r="E77"/>
      <c r="F77"/>
    </row>
    <row r="78" spans="2:14" ht="14.65" customHeight="1" thickBot="1" x14ac:dyDescent="0.3">
      <c r="C78"/>
      <c r="D78"/>
      <c r="E78"/>
      <c r="F78"/>
    </row>
    <row r="79" spans="2:14" ht="14.65" customHeight="1" x14ac:dyDescent="0.25">
      <c r="B79" s="591" t="s">
        <v>9</v>
      </c>
      <c r="C79" s="591" t="s">
        <v>10</v>
      </c>
      <c r="D79" s="626" t="s">
        <v>103</v>
      </c>
      <c r="E79" s="632" t="s">
        <v>104</v>
      </c>
      <c r="F79" s="626" t="s">
        <v>105</v>
      </c>
    </row>
    <row r="80" spans="2:14" ht="14.65" customHeight="1" x14ac:dyDescent="0.25">
      <c r="B80" s="592"/>
      <c r="C80" s="592"/>
      <c r="D80" s="638"/>
      <c r="E80" s="633"/>
      <c r="F80" s="638"/>
    </row>
    <row r="81" spans="2:6" ht="14.65" customHeight="1" thickBot="1" x14ac:dyDescent="0.3">
      <c r="B81" s="593"/>
      <c r="C81" s="593"/>
      <c r="D81" s="627"/>
      <c r="E81" s="634"/>
      <c r="F81" s="627"/>
    </row>
    <row r="82" spans="2:6" ht="14.65" customHeight="1" x14ac:dyDescent="0.25">
      <c r="B82" s="104">
        <f>ÜLDANDMED!F11</f>
        <v>2025</v>
      </c>
      <c r="C82" s="76" t="s">
        <v>106</v>
      </c>
      <c r="D82" s="70" t="s">
        <v>107</v>
      </c>
      <c r="E82" s="148" t="s">
        <v>108</v>
      </c>
      <c r="F82" s="205" t="s">
        <v>108</v>
      </c>
    </row>
    <row r="83" spans="2:6" ht="14.65" customHeight="1" x14ac:dyDescent="0.25">
      <c r="B83" s="82"/>
      <c r="C83" s="81" t="s">
        <v>109</v>
      </c>
      <c r="D83" s="418"/>
      <c r="E83" s="415">
        <f>D83*sõiduauto_bensiin_2025/1000</f>
        <v>0</v>
      </c>
      <c r="F83" s="420"/>
    </row>
    <row r="84" spans="2:6" ht="14.65" customHeight="1" x14ac:dyDescent="0.25">
      <c r="B84" s="82"/>
      <c r="C84" s="81" t="s">
        <v>110</v>
      </c>
      <c r="D84" s="418"/>
      <c r="E84" s="415">
        <f>D84*sõiduauto_diisel_2025/1000</f>
        <v>0</v>
      </c>
      <c r="F84" s="421"/>
    </row>
    <row r="85" spans="2:6" ht="14.65" customHeight="1" x14ac:dyDescent="0.25">
      <c r="B85" s="82"/>
      <c r="C85" s="214" t="s">
        <v>352</v>
      </c>
      <c r="D85" s="419"/>
      <c r="E85" s="415">
        <f>D85*sõiduauto_bioCNG_2025/1000</f>
        <v>0</v>
      </c>
      <c r="F85" s="420"/>
    </row>
    <row r="86" spans="2:6" ht="14.65" customHeight="1" x14ac:dyDescent="0.25">
      <c r="B86" s="82"/>
      <c r="C86" s="214" t="s">
        <v>353</v>
      </c>
      <c r="D86" s="419"/>
      <c r="E86" s="415">
        <f>D86*sõiduauto_CNG_2022/1000</f>
        <v>0</v>
      </c>
      <c r="F86" s="419"/>
    </row>
    <row r="87" spans="2:6" ht="14.65" customHeight="1" x14ac:dyDescent="0.25">
      <c r="B87" s="82"/>
      <c r="C87" s="81" t="s">
        <v>350</v>
      </c>
      <c r="D87" s="419"/>
      <c r="E87" s="415">
        <f>D87*sõiduauto_hübriid_2025/1000</f>
        <v>0</v>
      </c>
      <c r="F87" s="420"/>
    </row>
    <row r="88" spans="2:6" ht="14.65" customHeight="1" x14ac:dyDescent="0.25">
      <c r="B88" s="82"/>
      <c r="C88" s="81" t="s">
        <v>111</v>
      </c>
      <c r="D88" s="419"/>
      <c r="E88" s="415">
        <f>D88*sõiduauto_taastuvelekter/1000</f>
        <v>0</v>
      </c>
      <c r="F88" s="420"/>
    </row>
    <row r="89" spans="2:6" ht="14.65" customHeight="1" x14ac:dyDescent="0.25">
      <c r="B89" s="82"/>
      <c r="C89" s="81" t="s">
        <v>112</v>
      </c>
      <c r="D89" s="419"/>
      <c r="E89" s="415">
        <f>D89*sõiduauto_tavaelekter_2025/1000</f>
        <v>0</v>
      </c>
      <c r="F89" s="420"/>
    </row>
    <row r="90" spans="2:6" ht="14.65" customHeight="1" thickBot="1" x14ac:dyDescent="0.3">
      <c r="B90" s="77"/>
      <c r="C90" s="71" t="s">
        <v>113</v>
      </c>
      <c r="D90" s="398"/>
      <c r="E90" s="415">
        <f>D90*sõiduk_takso_2022/1000</f>
        <v>0</v>
      </c>
      <c r="F90" s="423"/>
    </row>
    <row r="91" spans="2:6" ht="14.65" customHeight="1" x14ac:dyDescent="0.25">
      <c r="B91" s="77"/>
      <c r="C91" s="148" t="s">
        <v>114</v>
      </c>
      <c r="D91" s="70" t="s">
        <v>115</v>
      </c>
      <c r="E91" s="148" t="s">
        <v>108</v>
      </c>
      <c r="F91" s="205" t="s">
        <v>108</v>
      </c>
    </row>
    <row r="92" spans="2:6" ht="14.65" customHeight="1" x14ac:dyDescent="0.25">
      <c r="B92" s="77"/>
      <c r="C92" s="71" t="s">
        <v>116</v>
      </c>
      <c r="D92" s="398"/>
      <c r="E92" s="415">
        <f>D92*sõiduk_buss_kaugliin_2025/1000</f>
        <v>0</v>
      </c>
      <c r="F92" s="398"/>
    </row>
    <row r="93" spans="2:6" ht="14.65" customHeight="1" x14ac:dyDescent="0.25">
      <c r="B93" s="77"/>
      <c r="C93" s="216" t="s">
        <v>117</v>
      </c>
      <c r="D93" s="398"/>
      <c r="E93" s="415">
        <f>D93*sõiduk_buss_linnaliin_Tallinn_2025/1000</f>
        <v>0</v>
      </c>
      <c r="F93" s="398"/>
    </row>
    <row r="94" spans="2:6" ht="14.65" customHeight="1" x14ac:dyDescent="0.25">
      <c r="B94" s="77"/>
      <c r="C94" s="216" t="s">
        <v>118</v>
      </c>
      <c r="D94" s="398"/>
      <c r="E94" s="415">
        <f>D94*sõiduk_buss_linnaliin_Eesti_2025/1000</f>
        <v>0</v>
      </c>
      <c r="F94" s="398"/>
    </row>
    <row r="95" spans="2:6" ht="14.65" customHeight="1" x14ac:dyDescent="0.25">
      <c r="B95" s="77"/>
      <c r="C95" s="71" t="s">
        <v>119</v>
      </c>
      <c r="D95" s="398"/>
      <c r="E95" s="415">
        <f>D95*sõiduk_diiselrong_2025/1000</f>
        <v>0</v>
      </c>
      <c r="F95" s="398"/>
    </row>
    <row r="96" spans="2:6" ht="14.65" customHeight="1" x14ac:dyDescent="0.25">
      <c r="B96" s="77"/>
      <c r="C96" s="71" t="s">
        <v>120</v>
      </c>
      <c r="D96" s="398"/>
      <c r="E96" s="415">
        <f>D96*sõiduk_elektrirong/1000</f>
        <v>0</v>
      </c>
      <c r="F96" s="398"/>
    </row>
    <row r="97" spans="2:14" ht="14.65" customHeight="1" x14ac:dyDescent="0.25">
      <c r="B97" s="77"/>
      <c r="C97" s="88" t="s">
        <v>121</v>
      </c>
      <c r="D97" s="398"/>
      <c r="E97" s="415">
        <f>D97*sõiduk_laev_2025/1000</f>
        <v>0</v>
      </c>
      <c r="F97" s="398"/>
      <c r="N97" s="49"/>
    </row>
    <row r="98" spans="2:14" ht="14.65" customHeight="1" thickBot="1" x14ac:dyDescent="0.3">
      <c r="B98" s="77"/>
      <c r="C98" s="81" t="s">
        <v>122</v>
      </c>
      <c r="D98" s="398"/>
      <c r="E98" s="415">
        <f>D98*sõiduk_lennuk_2025/1000</f>
        <v>0</v>
      </c>
      <c r="F98" s="398"/>
    </row>
    <row r="99" spans="2:14" ht="14.65" customHeight="1" thickBot="1" x14ac:dyDescent="0.3">
      <c r="B99" s="130"/>
      <c r="C99" s="222" t="s">
        <v>123</v>
      </c>
      <c r="D99" s="224"/>
      <c r="E99" s="639">
        <f>SUM(E83:E90,E92:E98,F83:F90,F92:F98)</f>
        <v>0</v>
      </c>
      <c r="F99" s="640"/>
    </row>
    <row r="100" spans="2:14" ht="14.65" customHeight="1" x14ac:dyDescent="0.25">
      <c r="C100"/>
      <c r="D100"/>
      <c r="E100"/>
      <c r="F100"/>
    </row>
    <row r="101" spans="2:14" ht="14.65" customHeight="1" thickBot="1" x14ac:dyDescent="0.3">
      <c r="C101"/>
      <c r="D101"/>
      <c r="E101"/>
      <c r="F101"/>
    </row>
    <row r="102" spans="2:14" ht="14.65" customHeight="1" x14ac:dyDescent="0.25">
      <c r="B102" s="591" t="s">
        <v>9</v>
      </c>
      <c r="C102" s="591" t="s">
        <v>10</v>
      </c>
      <c r="D102" s="626" t="s">
        <v>103</v>
      </c>
      <c r="E102" s="632" t="s">
        <v>104</v>
      </c>
      <c r="F102" s="626" t="s">
        <v>105</v>
      </c>
    </row>
    <row r="103" spans="2:14" ht="14.65" customHeight="1" x14ac:dyDescent="0.25">
      <c r="B103" s="592"/>
      <c r="C103" s="592"/>
      <c r="D103" s="638"/>
      <c r="E103" s="633"/>
      <c r="F103" s="638"/>
    </row>
    <row r="104" spans="2:14" ht="14.65" customHeight="1" thickBot="1" x14ac:dyDescent="0.3">
      <c r="B104" s="593"/>
      <c r="C104" s="593"/>
      <c r="D104" s="627"/>
      <c r="E104" s="634"/>
      <c r="F104" s="627"/>
    </row>
    <row r="105" spans="2:14" ht="14.65" customHeight="1" x14ac:dyDescent="0.25">
      <c r="B105" s="104">
        <f>ÜLDANDMED!G11</f>
        <v>2026</v>
      </c>
      <c r="C105" s="76" t="s">
        <v>106</v>
      </c>
      <c r="D105" s="70" t="s">
        <v>107</v>
      </c>
      <c r="E105" s="148" t="s">
        <v>108</v>
      </c>
      <c r="F105" s="205" t="s">
        <v>108</v>
      </c>
    </row>
    <row r="106" spans="2:14" ht="14.65" customHeight="1" x14ac:dyDescent="0.25">
      <c r="B106" s="82"/>
      <c r="C106" s="81" t="s">
        <v>109</v>
      </c>
      <c r="D106" s="418"/>
      <c r="E106" s="415">
        <f>D106*sõiduauto_bensiin_2026/1000</f>
        <v>0</v>
      </c>
      <c r="F106" s="420"/>
    </row>
    <row r="107" spans="2:14" ht="14.65" customHeight="1" x14ac:dyDescent="0.25">
      <c r="B107" s="82"/>
      <c r="C107" s="81" t="s">
        <v>110</v>
      </c>
      <c r="D107" s="418"/>
      <c r="E107" s="415">
        <f>D107*sõiduauto_diisel_2026/1000</f>
        <v>0</v>
      </c>
      <c r="F107" s="421"/>
    </row>
    <row r="108" spans="2:14" ht="14.65" customHeight="1" x14ac:dyDescent="0.25">
      <c r="B108" s="82"/>
      <c r="C108" s="214" t="s">
        <v>352</v>
      </c>
      <c r="D108" s="419"/>
      <c r="E108" s="415">
        <f>D108*sõiduauto_bioCNG_2026/1000</f>
        <v>0</v>
      </c>
      <c r="F108" s="420"/>
    </row>
    <row r="109" spans="2:14" ht="14.65" customHeight="1" x14ac:dyDescent="0.25">
      <c r="B109" s="82"/>
      <c r="C109" s="214" t="s">
        <v>353</v>
      </c>
      <c r="D109" s="419"/>
      <c r="E109" s="415">
        <f>D109*sõiduauto_CNG_2022/1000</f>
        <v>0</v>
      </c>
      <c r="F109" s="419"/>
    </row>
    <row r="110" spans="2:14" ht="14.65" customHeight="1" x14ac:dyDescent="0.25">
      <c r="B110" s="82"/>
      <c r="C110" s="81" t="s">
        <v>350</v>
      </c>
      <c r="D110" s="419"/>
      <c r="E110" s="415">
        <f>D110*sõiduauto_hübriid_2026/1000</f>
        <v>0</v>
      </c>
      <c r="F110" s="420"/>
    </row>
    <row r="111" spans="2:14" ht="14.65" customHeight="1" x14ac:dyDescent="0.25">
      <c r="B111" s="82"/>
      <c r="C111" s="81" t="s">
        <v>111</v>
      </c>
      <c r="D111" s="419"/>
      <c r="E111" s="415">
        <f>D111*sõiduauto_taastuvelekter/1000</f>
        <v>0</v>
      </c>
      <c r="F111" s="420"/>
    </row>
    <row r="112" spans="2:14" ht="14.65" customHeight="1" x14ac:dyDescent="0.25">
      <c r="B112" s="82"/>
      <c r="C112" s="81" t="s">
        <v>112</v>
      </c>
      <c r="D112" s="419"/>
      <c r="E112" s="415">
        <f>D112*sõiduauto_tavaelekter_2026/1000</f>
        <v>0</v>
      </c>
      <c r="F112" s="420"/>
    </row>
    <row r="113" spans="2:14" ht="14.65" customHeight="1" thickBot="1" x14ac:dyDescent="0.3">
      <c r="B113" s="77"/>
      <c r="C113" s="71" t="s">
        <v>113</v>
      </c>
      <c r="D113" s="398"/>
      <c r="E113" s="415">
        <f>D113*sõiduk_takso_2022/1000</f>
        <v>0</v>
      </c>
      <c r="F113" s="423"/>
    </row>
    <row r="114" spans="2:14" ht="14.65" customHeight="1" x14ac:dyDescent="0.25">
      <c r="B114" s="77"/>
      <c r="C114" s="148" t="s">
        <v>114</v>
      </c>
      <c r="D114" s="70" t="s">
        <v>115</v>
      </c>
      <c r="E114" s="148" t="s">
        <v>108</v>
      </c>
      <c r="F114" s="205" t="s">
        <v>108</v>
      </c>
    </row>
    <row r="115" spans="2:14" ht="14.65" customHeight="1" x14ac:dyDescent="0.25">
      <c r="B115" s="77"/>
      <c r="C115" s="71" t="s">
        <v>116</v>
      </c>
      <c r="D115" s="398"/>
      <c r="E115" s="415">
        <f>D115*sõiduk_buss_kaugliin_2026/1000</f>
        <v>0</v>
      </c>
      <c r="F115" s="398"/>
    </row>
    <row r="116" spans="2:14" ht="14.65" customHeight="1" x14ac:dyDescent="0.25">
      <c r="B116" s="77"/>
      <c r="C116" s="216" t="s">
        <v>117</v>
      </c>
      <c r="D116" s="398"/>
      <c r="E116" s="415">
        <f>D116*sõiduk_buss_linnaliin_Tallinn_2026/1000</f>
        <v>0</v>
      </c>
      <c r="F116" s="398"/>
    </row>
    <row r="117" spans="2:14" ht="14.65" customHeight="1" x14ac:dyDescent="0.25">
      <c r="B117" s="77"/>
      <c r="C117" s="216" t="s">
        <v>118</v>
      </c>
      <c r="D117" s="398"/>
      <c r="E117" s="415">
        <f>D117*sõiduk_buss_linnaliin_Eesti_2026/1000</f>
        <v>0</v>
      </c>
      <c r="F117" s="398"/>
    </row>
    <row r="118" spans="2:14" ht="14.65" customHeight="1" x14ac:dyDescent="0.25">
      <c r="B118" s="77"/>
      <c r="C118" s="71" t="s">
        <v>119</v>
      </c>
      <c r="D118" s="398"/>
      <c r="E118" s="415">
        <f>D118*sõiduk_diiselrong_2026/1000</f>
        <v>0</v>
      </c>
      <c r="F118" s="398"/>
    </row>
    <row r="119" spans="2:14" ht="14.65" customHeight="1" x14ac:dyDescent="0.25">
      <c r="B119" s="77"/>
      <c r="C119" s="71" t="s">
        <v>120</v>
      </c>
      <c r="D119" s="398"/>
      <c r="E119" s="415">
        <f>D119*sõiduk_elektrirong/1000</f>
        <v>0</v>
      </c>
      <c r="F119" s="398"/>
    </row>
    <row r="120" spans="2:14" ht="14.65" customHeight="1" x14ac:dyDescent="0.25">
      <c r="B120" s="77"/>
      <c r="C120" s="88" t="s">
        <v>121</v>
      </c>
      <c r="D120" s="398"/>
      <c r="E120" s="415">
        <f>D120*sõiduk_laev_2026/1000</f>
        <v>0</v>
      </c>
      <c r="F120" s="398"/>
      <c r="N120" s="49"/>
    </row>
    <row r="121" spans="2:14" ht="14.65" customHeight="1" thickBot="1" x14ac:dyDescent="0.3">
      <c r="B121" s="77"/>
      <c r="C121" s="81" t="s">
        <v>122</v>
      </c>
      <c r="D121" s="398"/>
      <c r="E121" s="415">
        <f>D121*sõiduk_lennuk_2026/1000</f>
        <v>0</v>
      </c>
      <c r="F121" s="398"/>
    </row>
    <row r="122" spans="2:14" ht="14.65" customHeight="1" thickBot="1" x14ac:dyDescent="0.3">
      <c r="B122" s="130"/>
      <c r="C122" s="222" t="s">
        <v>123</v>
      </c>
      <c r="D122" s="224"/>
      <c r="E122" s="639">
        <f>SUM(E106:E113,E115:E121,F106:F113,F115:F121)</f>
        <v>0</v>
      </c>
      <c r="F122" s="640"/>
    </row>
    <row r="123" spans="2:14" ht="14.65" customHeight="1" x14ac:dyDescent="0.25">
      <c r="C123"/>
      <c r="D123"/>
      <c r="E123"/>
      <c r="F123"/>
    </row>
    <row r="124" spans="2:14" ht="14.65" customHeight="1" thickBot="1" x14ac:dyDescent="0.3">
      <c r="C124"/>
      <c r="D124"/>
      <c r="E124"/>
      <c r="F124"/>
    </row>
    <row r="125" spans="2:14" ht="14.65" customHeight="1" x14ac:dyDescent="0.25">
      <c r="B125" s="591" t="s">
        <v>9</v>
      </c>
      <c r="C125" s="591" t="s">
        <v>10</v>
      </c>
      <c r="D125" s="626" t="s">
        <v>103</v>
      </c>
      <c r="E125" s="632" t="s">
        <v>104</v>
      </c>
      <c r="F125" s="626" t="s">
        <v>105</v>
      </c>
    </row>
    <row r="126" spans="2:14" ht="14.65" customHeight="1" x14ac:dyDescent="0.25">
      <c r="B126" s="592"/>
      <c r="C126" s="592"/>
      <c r="D126" s="638"/>
      <c r="E126" s="633"/>
      <c r="F126" s="638"/>
    </row>
    <row r="127" spans="2:14" ht="14.65" customHeight="1" thickBot="1" x14ac:dyDescent="0.3">
      <c r="B127" s="593"/>
      <c r="C127" s="593"/>
      <c r="D127" s="627"/>
      <c r="E127" s="634"/>
      <c r="F127" s="627"/>
    </row>
    <row r="128" spans="2:14" ht="14.65" customHeight="1" x14ac:dyDescent="0.25">
      <c r="B128" s="151">
        <f>ÜLDANDMED!H11</f>
        <v>2027</v>
      </c>
      <c r="C128" s="76" t="s">
        <v>106</v>
      </c>
      <c r="D128" s="70" t="s">
        <v>107</v>
      </c>
      <c r="E128" s="148" t="s">
        <v>108</v>
      </c>
      <c r="F128" s="205" t="s">
        <v>108</v>
      </c>
    </row>
    <row r="129" spans="2:14" ht="14.65" customHeight="1" x14ac:dyDescent="0.25">
      <c r="B129" s="83"/>
      <c r="C129" s="81" t="s">
        <v>109</v>
      </c>
      <c r="D129" s="418"/>
      <c r="E129" s="415">
        <f>D129*sõiduauto_bensiin_2027/1000</f>
        <v>0</v>
      </c>
      <c r="F129" s="420"/>
    </row>
    <row r="130" spans="2:14" ht="14.65" customHeight="1" x14ac:dyDescent="0.25">
      <c r="B130" s="83"/>
      <c r="C130" s="81" t="s">
        <v>110</v>
      </c>
      <c r="D130" s="418"/>
      <c r="E130" s="415">
        <f>D130*sõiduauto_diisel_2027/1000</f>
        <v>0</v>
      </c>
      <c r="F130" s="421"/>
    </row>
    <row r="131" spans="2:14" ht="14.65" customHeight="1" x14ac:dyDescent="0.25">
      <c r="B131" s="83"/>
      <c r="C131" s="81" t="s">
        <v>352</v>
      </c>
      <c r="D131" s="419"/>
      <c r="E131" s="415">
        <f>D131*sõiduauto_bioCNG_2027/1000</f>
        <v>0</v>
      </c>
      <c r="F131" s="420"/>
    </row>
    <row r="132" spans="2:14" ht="14.65" customHeight="1" x14ac:dyDescent="0.25">
      <c r="B132" s="82"/>
      <c r="C132" s="214" t="s">
        <v>353</v>
      </c>
      <c r="D132" s="419"/>
      <c r="E132" s="415">
        <f>D132*sõiduauto_CNG_2022/1000</f>
        <v>0</v>
      </c>
      <c r="F132" s="419"/>
    </row>
    <row r="133" spans="2:14" ht="14.65" customHeight="1" x14ac:dyDescent="0.25">
      <c r="B133" s="83"/>
      <c r="C133" s="81" t="s">
        <v>350</v>
      </c>
      <c r="D133" s="419"/>
      <c r="E133" s="415">
        <f>D133*sõiduauto_hübriid_2027/1000</f>
        <v>0</v>
      </c>
      <c r="F133" s="420"/>
    </row>
    <row r="134" spans="2:14" ht="14.65" customHeight="1" x14ac:dyDescent="0.25">
      <c r="B134" s="83"/>
      <c r="C134" s="81" t="s">
        <v>111</v>
      </c>
      <c r="D134" s="419"/>
      <c r="E134" s="415">
        <f>D134*sõiduauto_taastuvelekter/1000</f>
        <v>0</v>
      </c>
      <c r="F134" s="420"/>
    </row>
    <row r="135" spans="2:14" ht="14.65" customHeight="1" x14ac:dyDescent="0.25">
      <c r="B135" s="83"/>
      <c r="C135" s="81" t="s">
        <v>112</v>
      </c>
      <c r="D135" s="419"/>
      <c r="E135" s="415">
        <f>D135*sõiduauto_tavaelekter_2027/1000</f>
        <v>0</v>
      </c>
      <c r="F135" s="420"/>
    </row>
    <row r="136" spans="2:14" ht="14.65" customHeight="1" thickBot="1" x14ac:dyDescent="0.3">
      <c r="B136" s="85"/>
      <c r="C136" s="71" t="s">
        <v>113</v>
      </c>
      <c r="D136" s="398"/>
      <c r="E136" s="415">
        <f>D136*sõiduk_takso_2022/1000</f>
        <v>0</v>
      </c>
      <c r="F136" s="423"/>
    </row>
    <row r="137" spans="2:14" ht="14.65" customHeight="1" x14ac:dyDescent="0.25">
      <c r="B137" s="85"/>
      <c r="C137" s="148" t="s">
        <v>114</v>
      </c>
      <c r="D137" s="70" t="s">
        <v>115</v>
      </c>
      <c r="E137" s="148" t="s">
        <v>108</v>
      </c>
      <c r="F137" s="205" t="s">
        <v>108</v>
      </c>
    </row>
    <row r="138" spans="2:14" ht="14.65" customHeight="1" x14ac:dyDescent="0.25">
      <c r="B138" s="85"/>
      <c r="C138" s="71" t="s">
        <v>116</v>
      </c>
      <c r="D138" s="398"/>
      <c r="E138" s="415">
        <f>D138*sõiduk_buss_kaugliin_2027/1000</f>
        <v>0</v>
      </c>
      <c r="F138" s="398"/>
    </row>
    <row r="139" spans="2:14" ht="14.65" customHeight="1" x14ac:dyDescent="0.25">
      <c r="B139" s="85"/>
      <c r="C139" s="71" t="s">
        <v>117</v>
      </c>
      <c r="D139" s="398"/>
      <c r="E139" s="415">
        <f>D139*sõiduk_buss_linnaliin_Tallinn_2027/1000</f>
        <v>0</v>
      </c>
      <c r="F139" s="398"/>
    </row>
    <row r="140" spans="2:14" ht="14.65" customHeight="1" x14ac:dyDescent="0.25">
      <c r="B140" s="85"/>
      <c r="C140" s="71" t="s">
        <v>118</v>
      </c>
      <c r="D140" s="398"/>
      <c r="E140" s="415">
        <f>D140*sõiduk_buss_linnaliin_Eesti_2027/1000</f>
        <v>0</v>
      </c>
      <c r="F140" s="398"/>
    </row>
    <row r="141" spans="2:14" ht="14.65" customHeight="1" x14ac:dyDescent="0.25">
      <c r="B141" s="85"/>
      <c r="C141" s="71" t="s">
        <v>119</v>
      </c>
      <c r="D141" s="398"/>
      <c r="E141" s="415">
        <f>D141*sõiduk_diiselrong_2027/1000</f>
        <v>0</v>
      </c>
      <c r="F141" s="398"/>
    </row>
    <row r="142" spans="2:14" ht="14.65" customHeight="1" x14ac:dyDescent="0.25">
      <c r="B142" s="85"/>
      <c r="C142" s="71" t="s">
        <v>120</v>
      </c>
      <c r="D142" s="398"/>
      <c r="E142" s="415">
        <f>D142*sõiduk_elektrirong/1000</f>
        <v>0</v>
      </c>
      <c r="F142" s="398"/>
    </row>
    <row r="143" spans="2:14" ht="14.65" customHeight="1" x14ac:dyDescent="0.25">
      <c r="B143" s="85"/>
      <c r="C143" s="88" t="s">
        <v>121</v>
      </c>
      <c r="D143" s="398"/>
      <c r="E143" s="415">
        <f>D143*sõiduk_laev_2027/1000</f>
        <v>0</v>
      </c>
      <c r="F143" s="398"/>
      <c r="N143" s="49"/>
    </row>
    <row r="144" spans="2:14" ht="14.65" customHeight="1" thickBot="1" x14ac:dyDescent="0.3">
      <c r="B144" s="85"/>
      <c r="C144" s="81" t="s">
        <v>122</v>
      </c>
      <c r="D144" s="398"/>
      <c r="E144" s="415">
        <f>D144*sõiduk_lennuk_2027/1000</f>
        <v>0</v>
      </c>
      <c r="F144" s="398"/>
    </row>
    <row r="145" spans="2:6" ht="14.65" customHeight="1" thickBot="1" x14ac:dyDescent="0.3">
      <c r="B145" s="130"/>
      <c r="C145" s="222" t="s">
        <v>123</v>
      </c>
      <c r="D145" s="224"/>
      <c r="E145" s="639">
        <f>SUM(E129:E136,E138:E144,F129:F136,F138:F144)</f>
        <v>0</v>
      </c>
      <c r="F145" s="640"/>
    </row>
    <row r="146" spans="2:6" ht="14.65" customHeight="1" x14ac:dyDescent="0.25">
      <c r="C146"/>
      <c r="D146"/>
      <c r="E146"/>
      <c r="F146"/>
    </row>
    <row r="147" spans="2:6" ht="14.65" customHeight="1" thickBot="1" x14ac:dyDescent="0.3">
      <c r="C147"/>
      <c r="D147"/>
      <c r="E147"/>
      <c r="F147"/>
    </row>
    <row r="148" spans="2:6" ht="14.65" customHeight="1" x14ac:dyDescent="0.25">
      <c r="B148" s="591" t="s">
        <v>9</v>
      </c>
      <c r="C148" s="591" t="s">
        <v>10</v>
      </c>
      <c r="D148" s="626" t="s">
        <v>103</v>
      </c>
      <c r="E148" s="632" t="s">
        <v>104</v>
      </c>
      <c r="F148" s="626" t="s">
        <v>105</v>
      </c>
    </row>
    <row r="149" spans="2:6" ht="14.65" customHeight="1" x14ac:dyDescent="0.25">
      <c r="B149" s="592"/>
      <c r="C149" s="592"/>
      <c r="D149" s="638"/>
      <c r="E149" s="633"/>
      <c r="F149" s="638"/>
    </row>
    <row r="150" spans="2:6" ht="14.65" customHeight="1" thickBot="1" x14ac:dyDescent="0.3">
      <c r="B150" s="593"/>
      <c r="C150" s="593"/>
      <c r="D150" s="627"/>
      <c r="E150" s="634"/>
      <c r="F150" s="627"/>
    </row>
    <row r="151" spans="2:6" ht="14.65" customHeight="1" x14ac:dyDescent="0.25">
      <c r="B151" s="89">
        <f>ÜLDANDMED!I11</f>
        <v>2028</v>
      </c>
      <c r="C151" s="76" t="s">
        <v>106</v>
      </c>
      <c r="D151" s="70" t="s">
        <v>107</v>
      </c>
      <c r="E151" s="148" t="s">
        <v>108</v>
      </c>
      <c r="F151" s="205" t="s">
        <v>108</v>
      </c>
    </row>
    <row r="152" spans="2:6" ht="14.65" customHeight="1" x14ac:dyDescent="0.25">
      <c r="B152" s="83"/>
      <c r="C152" s="81" t="s">
        <v>109</v>
      </c>
      <c r="D152" s="418"/>
      <c r="E152" s="415">
        <f>D152*sõiduauto_bensiin_2028/1000</f>
        <v>0</v>
      </c>
      <c r="F152" s="420"/>
    </row>
    <row r="153" spans="2:6" ht="14.65" customHeight="1" x14ac:dyDescent="0.25">
      <c r="B153" s="83"/>
      <c r="C153" s="81" t="s">
        <v>110</v>
      </c>
      <c r="D153" s="418"/>
      <c r="E153" s="415">
        <f>D153*sõiduauto_diisel_2028/1000</f>
        <v>0</v>
      </c>
      <c r="F153" s="421"/>
    </row>
    <row r="154" spans="2:6" ht="14.65" customHeight="1" x14ac:dyDescent="0.25">
      <c r="B154" s="83"/>
      <c r="C154" s="81" t="s">
        <v>352</v>
      </c>
      <c r="D154" s="419"/>
      <c r="E154" s="415">
        <f>D154*sõiduauto_bioCNG_2028/1000</f>
        <v>0</v>
      </c>
      <c r="F154" s="420"/>
    </row>
    <row r="155" spans="2:6" ht="14.65" customHeight="1" x14ac:dyDescent="0.25">
      <c r="B155" s="82"/>
      <c r="C155" s="214" t="s">
        <v>353</v>
      </c>
      <c r="D155" s="419"/>
      <c r="E155" s="415">
        <f>D155*sõiduauto_CNG_2022/1000</f>
        <v>0</v>
      </c>
      <c r="F155" s="419"/>
    </row>
    <row r="156" spans="2:6" ht="14.65" customHeight="1" x14ac:dyDescent="0.25">
      <c r="B156" s="83"/>
      <c r="C156" s="81" t="s">
        <v>350</v>
      </c>
      <c r="D156" s="419"/>
      <c r="E156" s="415">
        <f>D156*sõiduauto_hübriid_2028/1000</f>
        <v>0</v>
      </c>
      <c r="F156" s="420"/>
    </row>
    <row r="157" spans="2:6" ht="14.65" customHeight="1" x14ac:dyDescent="0.25">
      <c r="B157" s="83"/>
      <c r="C157" s="81" t="s">
        <v>111</v>
      </c>
      <c r="D157" s="419"/>
      <c r="E157" s="415">
        <f>D157*sõiduauto_taastuvelekter/1000</f>
        <v>0</v>
      </c>
      <c r="F157" s="420"/>
    </row>
    <row r="158" spans="2:6" ht="14.65" customHeight="1" x14ac:dyDescent="0.25">
      <c r="B158" s="83"/>
      <c r="C158" s="81" t="s">
        <v>112</v>
      </c>
      <c r="D158" s="419"/>
      <c r="E158" s="415">
        <f>D158*sõiduauto_tavaelekter_2028/1000</f>
        <v>0</v>
      </c>
      <c r="F158" s="420"/>
    </row>
    <row r="159" spans="2:6" ht="14.65" customHeight="1" thickBot="1" x14ac:dyDescent="0.3">
      <c r="B159" s="85"/>
      <c r="C159" s="71" t="s">
        <v>113</v>
      </c>
      <c r="D159" s="398"/>
      <c r="E159" s="417">
        <f>D159*sõiduk_takso_2022/1000</f>
        <v>0</v>
      </c>
      <c r="F159" s="422"/>
    </row>
    <row r="160" spans="2:6" ht="14.65" customHeight="1" x14ac:dyDescent="0.25">
      <c r="B160" s="85"/>
      <c r="C160" s="148" t="s">
        <v>114</v>
      </c>
      <c r="D160" s="70" t="s">
        <v>115</v>
      </c>
      <c r="E160" s="276" t="s">
        <v>108</v>
      </c>
      <c r="F160" s="205" t="s">
        <v>108</v>
      </c>
    </row>
    <row r="161" spans="2:14" ht="14.65" customHeight="1" x14ac:dyDescent="0.25">
      <c r="B161" s="85"/>
      <c r="C161" s="71" t="s">
        <v>116</v>
      </c>
      <c r="D161" s="398"/>
      <c r="E161" s="415">
        <f>D161*sõiduk_buss_kaugliin_2028/1000</f>
        <v>0</v>
      </c>
      <c r="F161" s="398"/>
    </row>
    <row r="162" spans="2:14" ht="14.65" customHeight="1" x14ac:dyDescent="0.25">
      <c r="B162" s="85"/>
      <c r="C162" s="71" t="s">
        <v>117</v>
      </c>
      <c r="D162" s="398"/>
      <c r="E162" s="415">
        <f>D162*sõiduk_buss_linnaliin_Tallinn_2028/1000</f>
        <v>0</v>
      </c>
      <c r="F162" s="398"/>
    </row>
    <row r="163" spans="2:14" ht="14.65" customHeight="1" x14ac:dyDescent="0.25">
      <c r="B163" s="77"/>
      <c r="C163" s="216" t="s">
        <v>118</v>
      </c>
      <c r="D163" s="398"/>
      <c r="E163" s="415">
        <f>D163*sõiduk_buss_linnaliin_Eesti_2028/1000</f>
        <v>0</v>
      </c>
      <c r="F163" s="398"/>
    </row>
    <row r="164" spans="2:14" ht="14.65" customHeight="1" x14ac:dyDescent="0.25">
      <c r="B164" s="85"/>
      <c r="C164" s="71" t="s">
        <v>119</v>
      </c>
      <c r="D164" s="398"/>
      <c r="E164" s="415">
        <f>D164*sõiduk_diiselrong_2028/1000</f>
        <v>0</v>
      </c>
      <c r="F164" s="398"/>
    </row>
    <row r="165" spans="2:14" ht="14.65" customHeight="1" x14ac:dyDescent="0.25">
      <c r="B165" s="85"/>
      <c r="C165" s="71" t="s">
        <v>120</v>
      </c>
      <c r="D165" s="398"/>
      <c r="E165" s="415">
        <f>D165*sõiduk_elektrirong/1000</f>
        <v>0</v>
      </c>
      <c r="F165" s="398"/>
    </row>
    <row r="166" spans="2:14" ht="14.65" customHeight="1" x14ac:dyDescent="0.25">
      <c r="B166" s="85"/>
      <c r="C166" s="88" t="s">
        <v>121</v>
      </c>
      <c r="D166" s="398"/>
      <c r="E166" s="415">
        <f>D166*sõiduk_laev_2028/1000</f>
        <v>0</v>
      </c>
      <c r="F166" s="398"/>
      <c r="N166" s="49"/>
    </row>
    <row r="167" spans="2:14" ht="14.65" customHeight="1" thickBot="1" x14ac:dyDescent="0.3">
      <c r="B167" s="85"/>
      <c r="C167" s="81" t="s">
        <v>122</v>
      </c>
      <c r="D167" s="398"/>
      <c r="E167" s="415">
        <f>D167*sõiduk_lennuk_2028/1000</f>
        <v>0</v>
      </c>
      <c r="F167" s="398"/>
    </row>
    <row r="168" spans="2:14" ht="14.65" customHeight="1" thickBot="1" x14ac:dyDescent="0.3">
      <c r="B168" s="130"/>
      <c r="C168" s="222" t="s">
        <v>123</v>
      </c>
      <c r="D168" s="224"/>
      <c r="E168" s="639">
        <f>SUM(E152:E159,E161:E167,F152:F159,F161:F167)</f>
        <v>0</v>
      </c>
      <c r="F168" s="640"/>
    </row>
  </sheetData>
  <mergeCells count="43">
    <mergeCell ref="B4:F4"/>
    <mergeCell ref="E168:F168"/>
    <mergeCell ref="E53:F53"/>
    <mergeCell ref="E76:F76"/>
    <mergeCell ref="E99:F99"/>
    <mergeCell ref="E122:F122"/>
    <mergeCell ref="E145:F145"/>
    <mergeCell ref="B148:B150"/>
    <mergeCell ref="C148:C150"/>
    <mergeCell ref="D148:D150"/>
    <mergeCell ref="E148:E150"/>
    <mergeCell ref="F148:F150"/>
    <mergeCell ref="B125:B127"/>
    <mergeCell ref="C125:C127"/>
    <mergeCell ref="D125:D127"/>
    <mergeCell ref="E125:E127"/>
    <mergeCell ref="F125:F127"/>
    <mergeCell ref="B102:B104"/>
    <mergeCell ref="C102:C104"/>
    <mergeCell ref="D102:D104"/>
    <mergeCell ref="E102:E104"/>
    <mergeCell ref="F102:F104"/>
    <mergeCell ref="B79:B81"/>
    <mergeCell ref="C79:C81"/>
    <mergeCell ref="D79:D81"/>
    <mergeCell ref="E79:E81"/>
    <mergeCell ref="F79:F81"/>
    <mergeCell ref="B56:B58"/>
    <mergeCell ref="C56:C58"/>
    <mergeCell ref="D56:D58"/>
    <mergeCell ref="E56:E58"/>
    <mergeCell ref="F56:F58"/>
    <mergeCell ref="F10:F12"/>
    <mergeCell ref="E30:F30"/>
    <mergeCell ref="E10:E12"/>
    <mergeCell ref="B33:B35"/>
    <mergeCell ref="C33:C35"/>
    <mergeCell ref="D33:D35"/>
    <mergeCell ref="E33:E35"/>
    <mergeCell ref="F33:F35"/>
    <mergeCell ref="D10:D12"/>
    <mergeCell ref="C10:C12"/>
    <mergeCell ref="B10:B12"/>
  </mergeCells>
  <pageMargins left="0.70866141732283472" right="0.70866141732283472" top="0.74803149606299213" bottom="0.74803149606299213" header="0.31496062992125984" footer="0.31496062992125984"/>
  <pageSetup scale="78" fitToHeight="2"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DD6E-7569-4428-B8D7-32F52FA2B0DE}">
  <sheetPr>
    <tabColor rgb="FFFB8604"/>
    <pageSetUpPr fitToPage="1"/>
  </sheetPr>
  <dimension ref="A2:S190"/>
  <sheetViews>
    <sheetView showGridLines="0" zoomScaleNormal="100" workbookViewId="0">
      <pane xSplit="1" ySplit="2" topLeftCell="B3" activePane="bottomRight" state="frozen"/>
      <selection pane="topRight" activeCell="B1" sqref="B1"/>
      <selection pane="bottomLeft" activeCell="A3" sqref="A3"/>
      <selection pane="bottomRight" activeCell="C22" sqref="C22"/>
    </sheetView>
  </sheetViews>
  <sheetFormatPr defaultRowHeight="14.65" customHeight="1" x14ac:dyDescent="0.25"/>
  <cols>
    <col min="1" max="1" width="2.5703125" customWidth="1"/>
    <col min="2" max="2" width="7.5703125" customWidth="1"/>
    <col min="3" max="3" width="46.42578125" style="3" customWidth="1"/>
    <col min="4" max="4" width="17" style="268" customWidth="1"/>
    <col min="5" max="5" width="14.7109375" style="63" customWidth="1"/>
    <col min="6" max="11" width="14.7109375" customWidth="1"/>
  </cols>
  <sheetData>
    <row r="2" spans="1:19" ht="18.600000000000001" customHeight="1" x14ac:dyDescent="0.35">
      <c r="B2" s="28" t="s">
        <v>124</v>
      </c>
      <c r="C2" s="129"/>
    </row>
    <row r="3" spans="1:19" ht="14.65" customHeight="1" x14ac:dyDescent="0.3">
      <c r="C3" s="79"/>
    </row>
    <row r="4" spans="1:19" ht="123" customHeight="1" x14ac:dyDescent="0.25">
      <c r="B4" s="548" t="s">
        <v>375</v>
      </c>
      <c r="C4" s="555"/>
      <c r="D4" s="555"/>
      <c r="E4" s="556"/>
    </row>
    <row r="5" spans="1:19" ht="14.65" customHeight="1" x14ac:dyDescent="0.25">
      <c r="B5" s="169"/>
      <c r="C5" s="169"/>
      <c r="D5" s="269"/>
      <c r="E5" s="219"/>
      <c r="F5" s="169"/>
      <c r="G5" s="169"/>
      <c r="H5" s="169"/>
      <c r="I5" s="169"/>
      <c r="J5" s="169"/>
      <c r="K5" s="169"/>
    </row>
    <row r="6" spans="1:19" ht="14.65" customHeight="1" x14ac:dyDescent="0.25">
      <c r="B6" s="60" t="s">
        <v>125</v>
      </c>
      <c r="C6" s="80"/>
    </row>
    <row r="7" spans="1:19" ht="14.65" customHeight="1" x14ac:dyDescent="0.25">
      <c r="C7" s="378" t="s">
        <v>3</v>
      </c>
    </row>
    <row r="8" spans="1:19" ht="14.65" customHeight="1" x14ac:dyDescent="0.25">
      <c r="A8" s="1"/>
      <c r="C8" s="364" t="s">
        <v>4</v>
      </c>
      <c r="D8" s="270"/>
      <c r="E8" s="65"/>
      <c r="F8" s="3"/>
      <c r="G8" s="3"/>
      <c r="H8" s="3"/>
      <c r="I8" s="3"/>
      <c r="S8" s="66"/>
    </row>
    <row r="9" spans="1:19" ht="14.65" customHeight="1" thickBot="1" x14ac:dyDescent="0.3">
      <c r="B9" s="169"/>
      <c r="C9" s="169"/>
      <c r="D9" s="269"/>
      <c r="E9" s="219"/>
      <c r="F9" s="169"/>
      <c r="G9" s="169"/>
      <c r="H9" s="169"/>
      <c r="I9" s="169"/>
      <c r="J9" s="169"/>
      <c r="K9" s="169"/>
    </row>
    <row r="10" spans="1:19" ht="14.65" customHeight="1" x14ac:dyDescent="0.25">
      <c r="B10" s="591" t="s">
        <v>9</v>
      </c>
      <c r="C10" s="591" t="s">
        <v>10</v>
      </c>
      <c r="D10" s="641" t="s">
        <v>126</v>
      </c>
      <c r="E10" s="632" t="s">
        <v>127</v>
      </c>
    </row>
    <row r="11" spans="1:19" ht="27" customHeight="1" thickBot="1" x14ac:dyDescent="0.3">
      <c r="B11" s="593"/>
      <c r="C11" s="593"/>
      <c r="D11" s="642"/>
      <c r="E11" s="634"/>
    </row>
    <row r="12" spans="1:19" ht="14.65" customHeight="1" x14ac:dyDescent="0.25">
      <c r="B12" s="128">
        <f>ÜLDANDMED!C11</f>
        <v>2022</v>
      </c>
      <c r="C12" s="76" t="s">
        <v>128</v>
      </c>
      <c r="D12" s="271"/>
      <c r="E12" s="229"/>
    </row>
    <row r="13" spans="1:19" ht="14.65" customHeight="1" x14ac:dyDescent="0.25">
      <c r="B13" s="82"/>
      <c r="C13" s="81" t="s">
        <v>109</v>
      </c>
      <c r="D13" s="425"/>
      <c r="E13" s="415">
        <f>D13*sõiduauto_bensiin_2022/1000</f>
        <v>0</v>
      </c>
    </row>
    <row r="14" spans="1:19" ht="14.65" customHeight="1" x14ac:dyDescent="0.25">
      <c r="B14" s="82"/>
      <c r="C14" s="81" t="s">
        <v>110</v>
      </c>
      <c r="D14" s="425"/>
      <c r="E14" s="415">
        <f>D14*sõiduauto_diisel_2022/1000</f>
        <v>0</v>
      </c>
    </row>
    <row r="15" spans="1:19" ht="14.65" customHeight="1" x14ac:dyDescent="0.25">
      <c r="B15" s="82"/>
      <c r="C15" s="214" t="s">
        <v>352</v>
      </c>
      <c r="D15" s="425"/>
      <c r="E15" s="415">
        <f>D15*sõiduauto_bioCNG_2022/1000</f>
        <v>0</v>
      </c>
    </row>
    <row r="16" spans="1:19" ht="14.65" customHeight="1" x14ac:dyDescent="0.25">
      <c r="B16" s="82"/>
      <c r="C16" s="214" t="s">
        <v>353</v>
      </c>
      <c r="D16" s="425"/>
      <c r="E16" s="415">
        <f>D16*sõiduauto_CNG_2022/1000</f>
        <v>0</v>
      </c>
    </row>
    <row r="17" spans="2:6" ht="14.65" customHeight="1" x14ac:dyDescent="0.25">
      <c r="B17" s="82"/>
      <c r="C17" s="81" t="s">
        <v>350</v>
      </c>
      <c r="D17" s="425"/>
      <c r="E17" s="415">
        <f>D17*sõiduauto_hübriid_2022/1000</f>
        <v>0</v>
      </c>
    </row>
    <row r="18" spans="2:6" ht="14.65" customHeight="1" x14ac:dyDescent="0.25">
      <c r="B18" s="82"/>
      <c r="C18" s="81" t="s">
        <v>129</v>
      </c>
      <c r="D18" s="425"/>
      <c r="E18" s="415">
        <f>D18*sõiduauto_taastuvelekter/1000</f>
        <v>0</v>
      </c>
    </row>
    <row r="19" spans="2:6" ht="14.65" customHeight="1" x14ac:dyDescent="0.25">
      <c r="B19" s="82"/>
      <c r="C19" s="81" t="s">
        <v>130</v>
      </c>
      <c r="D19" s="425"/>
      <c r="E19" s="415">
        <f>D19*sõiduauto_tavaelekter_2022/1000</f>
        <v>0</v>
      </c>
    </row>
    <row r="20" spans="2:6" ht="14.65" customHeight="1" x14ac:dyDescent="0.25">
      <c r="B20" s="77"/>
      <c r="C20" s="71" t="s">
        <v>113</v>
      </c>
      <c r="D20" s="425"/>
      <c r="E20" s="415">
        <f>D20*sõiduk_takso_2022/1000</f>
        <v>0</v>
      </c>
    </row>
    <row r="21" spans="2:6" s="152" customFormat="1" ht="14.65" customHeight="1" x14ac:dyDescent="0.25">
      <c r="B21" s="77"/>
      <c r="C21" s="180" t="s">
        <v>131</v>
      </c>
      <c r="D21" s="272"/>
      <c r="E21" s="241"/>
    </row>
    <row r="22" spans="2:6" ht="14.65" customHeight="1" x14ac:dyDescent="0.25">
      <c r="B22" s="77"/>
      <c r="C22" s="71" t="s">
        <v>117</v>
      </c>
      <c r="D22" s="425"/>
      <c r="E22" s="415">
        <f>D22*sõiduk_buss_linnaliin_Tallinn_2022/1000</f>
        <v>0</v>
      </c>
      <c r="F22" s="49"/>
    </row>
    <row r="23" spans="2:6" ht="14.65" customHeight="1" x14ac:dyDescent="0.25">
      <c r="B23" s="77"/>
      <c r="C23" s="71" t="s">
        <v>118</v>
      </c>
      <c r="D23" s="425"/>
      <c r="E23" s="415">
        <f>D23*sõiduk_buss_linnaliin_Eesti_2022/1000</f>
        <v>0</v>
      </c>
      <c r="F23" s="49"/>
    </row>
    <row r="24" spans="2:6" ht="14.65" customHeight="1" x14ac:dyDescent="0.25">
      <c r="B24" s="77"/>
      <c r="C24" s="71" t="s">
        <v>132</v>
      </c>
      <c r="D24" s="425"/>
      <c r="E24" s="415">
        <f>D24*sõiduk_buss_maakondlik_2022/1000</f>
        <v>0</v>
      </c>
    </row>
    <row r="25" spans="2:6" ht="14.65" customHeight="1" x14ac:dyDescent="0.25">
      <c r="B25" s="77"/>
      <c r="C25" s="71" t="s">
        <v>133</v>
      </c>
      <c r="D25" s="425"/>
      <c r="E25" s="415">
        <f>D25*sõiduk_tramm/1000</f>
        <v>0</v>
      </c>
    </row>
    <row r="26" spans="2:6" ht="14.65" customHeight="1" x14ac:dyDescent="0.25">
      <c r="B26" s="77"/>
      <c r="C26" s="71" t="s">
        <v>119</v>
      </c>
      <c r="D26" s="425"/>
      <c r="E26" s="415">
        <f>D26*sõiduk_diiselrong_2022/1000</f>
        <v>0</v>
      </c>
    </row>
    <row r="27" spans="2:6" ht="14.65" customHeight="1" x14ac:dyDescent="0.25">
      <c r="B27" s="77"/>
      <c r="C27" s="71" t="s">
        <v>120</v>
      </c>
      <c r="D27" s="425"/>
      <c r="E27" s="415">
        <f>D27*sõiduk_elektrirong/1000</f>
        <v>0</v>
      </c>
    </row>
    <row r="28" spans="2:6" ht="14.65" customHeight="1" x14ac:dyDescent="0.25">
      <c r="B28" s="77"/>
      <c r="C28" s="92" t="s">
        <v>134</v>
      </c>
      <c r="D28" s="272"/>
      <c r="E28" s="241"/>
    </row>
    <row r="29" spans="2:6" ht="14.65" customHeight="1" x14ac:dyDescent="0.25">
      <c r="B29" s="77"/>
      <c r="C29" s="207" t="s">
        <v>135</v>
      </c>
      <c r="D29" s="425"/>
      <c r="E29" s="415">
        <f>D29*sõiduk_tavajalgratas/1000</f>
        <v>0</v>
      </c>
    </row>
    <row r="30" spans="2:6" ht="14.65" customHeight="1" x14ac:dyDescent="0.25">
      <c r="B30" s="77"/>
      <c r="C30" s="207" t="s">
        <v>136</v>
      </c>
      <c r="D30" s="425"/>
      <c r="E30" s="415">
        <f>D30*sõiduk_taastuvelektriratas/1000</f>
        <v>0</v>
      </c>
    </row>
    <row r="31" spans="2:6" ht="14.65" customHeight="1" x14ac:dyDescent="0.25">
      <c r="B31" s="77"/>
      <c r="C31" s="81" t="s">
        <v>137</v>
      </c>
      <c r="D31" s="425"/>
      <c r="E31" s="415">
        <f>D31*sõiduk_tavaelektriratas_2022/1000</f>
        <v>0</v>
      </c>
    </row>
    <row r="32" spans="2:6" ht="14.65" customHeight="1" thickBot="1" x14ac:dyDescent="0.3">
      <c r="B32" s="85"/>
      <c r="C32" s="319" t="s">
        <v>138</v>
      </c>
      <c r="D32" s="426"/>
      <c r="E32" s="427">
        <f>D32*tööle_koju_jalgsi/1000</f>
        <v>0</v>
      </c>
    </row>
    <row r="33" spans="2:5" ht="14.65" customHeight="1" thickBot="1" x14ac:dyDescent="0.3">
      <c r="B33" s="130"/>
      <c r="C33" s="222" t="s">
        <v>139</v>
      </c>
      <c r="D33" s="273"/>
      <c r="E33" s="428">
        <f>SUM(E13:E32)</f>
        <v>0</v>
      </c>
    </row>
    <row r="34" spans="2:5" ht="14.65" customHeight="1" x14ac:dyDescent="0.25">
      <c r="B34" s="208"/>
      <c r="C34" s="220"/>
      <c r="D34" s="93"/>
      <c r="E34"/>
    </row>
    <row r="35" spans="2:5" ht="14.65" customHeight="1" thickBot="1" x14ac:dyDescent="0.3">
      <c r="B35" s="208"/>
      <c r="C35" s="220"/>
      <c r="D35" s="93"/>
      <c r="E35"/>
    </row>
    <row r="36" spans="2:5" ht="14.65" customHeight="1" x14ac:dyDescent="0.25">
      <c r="B36" s="591" t="s">
        <v>9</v>
      </c>
      <c r="C36" s="591" t="s">
        <v>10</v>
      </c>
      <c r="D36" s="641" t="s">
        <v>126</v>
      </c>
      <c r="E36" s="632" t="s">
        <v>127</v>
      </c>
    </row>
    <row r="37" spans="2:5" ht="25.5" customHeight="1" thickBot="1" x14ac:dyDescent="0.3">
      <c r="B37" s="593"/>
      <c r="C37" s="593"/>
      <c r="D37" s="642"/>
      <c r="E37" s="634"/>
    </row>
    <row r="38" spans="2:5" ht="14.65" customHeight="1" x14ac:dyDescent="0.25">
      <c r="B38" s="128">
        <f>ÜLDANDMED!D11</f>
        <v>2023</v>
      </c>
      <c r="C38" s="76" t="s">
        <v>128</v>
      </c>
      <c r="D38" s="271"/>
      <c r="E38" s="229"/>
    </row>
    <row r="39" spans="2:5" ht="14.65" customHeight="1" x14ac:dyDescent="0.25">
      <c r="B39" s="82"/>
      <c r="C39" s="81" t="s">
        <v>109</v>
      </c>
      <c r="D39" s="425"/>
      <c r="E39" s="415">
        <f>D39*sõiduauto_bensiin_2023/1000</f>
        <v>0</v>
      </c>
    </row>
    <row r="40" spans="2:5" ht="14.65" customHeight="1" x14ac:dyDescent="0.25">
      <c r="B40" s="82"/>
      <c r="C40" s="81" t="s">
        <v>110</v>
      </c>
      <c r="D40" s="425"/>
      <c r="E40" s="415">
        <f>D40*sõiduauto_diisel_2023/1000</f>
        <v>0</v>
      </c>
    </row>
    <row r="41" spans="2:5" ht="14.65" customHeight="1" x14ac:dyDescent="0.25">
      <c r="B41" s="82"/>
      <c r="C41" s="214" t="s">
        <v>352</v>
      </c>
      <c r="D41" s="425"/>
      <c r="E41" s="415">
        <f>D41*sõiduauto_bioCNG_2023/1000</f>
        <v>0</v>
      </c>
    </row>
    <row r="42" spans="2:5" ht="14.65" customHeight="1" x14ac:dyDescent="0.25">
      <c r="B42" s="82"/>
      <c r="C42" s="214" t="s">
        <v>353</v>
      </c>
      <c r="D42" s="425"/>
      <c r="E42" s="415">
        <f>D42*sõiduauto_CNG_2022/1000</f>
        <v>0</v>
      </c>
    </row>
    <row r="43" spans="2:5" ht="14.65" customHeight="1" x14ac:dyDescent="0.25">
      <c r="B43" s="82"/>
      <c r="C43" s="81" t="s">
        <v>350</v>
      </c>
      <c r="D43" s="425"/>
      <c r="E43" s="415">
        <f>D43*sõiduauto_hübriid_2023/1000</f>
        <v>0</v>
      </c>
    </row>
    <row r="44" spans="2:5" ht="14.65" customHeight="1" x14ac:dyDescent="0.25">
      <c r="B44" s="82"/>
      <c r="C44" s="81" t="s">
        <v>129</v>
      </c>
      <c r="D44" s="425"/>
      <c r="E44" s="415">
        <f>D44*sõiduauto_taastuvelekter/1000</f>
        <v>0</v>
      </c>
    </row>
    <row r="45" spans="2:5" ht="14.65" customHeight="1" x14ac:dyDescent="0.25">
      <c r="B45" s="82"/>
      <c r="C45" s="81" t="s">
        <v>130</v>
      </c>
      <c r="D45" s="425"/>
      <c r="E45" s="415">
        <f>D45*sõiduauto_tavaelekter_2023/1000</f>
        <v>0</v>
      </c>
    </row>
    <row r="46" spans="2:5" ht="14.65" customHeight="1" x14ac:dyDescent="0.25">
      <c r="B46" s="77"/>
      <c r="C46" s="71" t="s">
        <v>113</v>
      </c>
      <c r="D46" s="425"/>
      <c r="E46" s="415">
        <f>D46*sõiduk_takso_2022/1000</f>
        <v>0</v>
      </c>
    </row>
    <row r="47" spans="2:5" s="152" customFormat="1" ht="14.65" customHeight="1" x14ac:dyDescent="0.25">
      <c r="B47" s="77"/>
      <c r="C47" s="180" t="s">
        <v>131</v>
      </c>
      <c r="D47" s="272"/>
      <c r="E47" s="241"/>
    </row>
    <row r="48" spans="2:5" ht="14.65" customHeight="1" x14ac:dyDescent="0.25">
      <c r="B48" s="77"/>
      <c r="C48" s="71" t="s">
        <v>117</v>
      </c>
      <c r="D48" s="425"/>
      <c r="E48" s="415">
        <f>D48*sõiduk_buss_linnaliin_Tallinn_2023/1000</f>
        <v>0</v>
      </c>
    </row>
    <row r="49" spans="2:6" ht="14.65" customHeight="1" x14ac:dyDescent="0.25">
      <c r="B49" s="77"/>
      <c r="C49" s="71" t="s">
        <v>118</v>
      </c>
      <c r="D49" s="425"/>
      <c r="E49" s="415">
        <f>D49*sõiduk_buss_linnaliin_Eesti_2023/1000</f>
        <v>0</v>
      </c>
      <c r="F49" s="49"/>
    </row>
    <row r="50" spans="2:6" ht="14.65" customHeight="1" x14ac:dyDescent="0.25">
      <c r="B50" s="77"/>
      <c r="C50" s="71" t="s">
        <v>132</v>
      </c>
      <c r="D50" s="425"/>
      <c r="E50" s="415">
        <f>D50*sõiduk_buss_maakondlik_2023/1000</f>
        <v>0</v>
      </c>
    </row>
    <row r="51" spans="2:6" ht="14.65" customHeight="1" x14ac:dyDescent="0.25">
      <c r="B51" s="77"/>
      <c r="C51" s="71" t="s">
        <v>133</v>
      </c>
      <c r="D51" s="425"/>
      <c r="E51" s="415">
        <f>D51*sõiduk_tramm/1000</f>
        <v>0</v>
      </c>
    </row>
    <row r="52" spans="2:6" ht="14.65" customHeight="1" x14ac:dyDescent="0.25">
      <c r="B52" s="77"/>
      <c r="C52" s="71" t="s">
        <v>119</v>
      </c>
      <c r="D52" s="425"/>
      <c r="E52" s="415">
        <f>D52*sõiduk_diiselrong_2023/1000</f>
        <v>0</v>
      </c>
    </row>
    <row r="53" spans="2:6" ht="14.65" customHeight="1" x14ac:dyDescent="0.25">
      <c r="B53" s="77"/>
      <c r="C53" s="71" t="s">
        <v>120</v>
      </c>
      <c r="D53" s="425"/>
      <c r="E53" s="415">
        <f>D53*sõiduk_elektrirong/1000</f>
        <v>0</v>
      </c>
    </row>
    <row r="54" spans="2:6" ht="14.65" customHeight="1" x14ac:dyDescent="0.25">
      <c r="B54" s="77"/>
      <c r="C54" s="92" t="s">
        <v>134</v>
      </c>
      <c r="D54" s="272"/>
      <c r="E54" s="241"/>
    </row>
    <row r="55" spans="2:6" ht="14.65" customHeight="1" x14ac:dyDescent="0.25">
      <c r="B55" s="77"/>
      <c r="C55" s="207" t="s">
        <v>135</v>
      </c>
      <c r="D55" s="425"/>
      <c r="E55" s="415">
        <f>D55*sõiduk_tavajalgratas/1000</f>
        <v>0</v>
      </c>
    </row>
    <row r="56" spans="2:6" ht="14.65" customHeight="1" x14ac:dyDescent="0.25">
      <c r="B56" s="77"/>
      <c r="C56" s="207" t="s">
        <v>136</v>
      </c>
      <c r="D56" s="425"/>
      <c r="E56" s="415">
        <f>D56*sõiduk_taastuvelektriratas/1000</f>
        <v>0</v>
      </c>
    </row>
    <row r="57" spans="2:6" ht="14.65" customHeight="1" x14ac:dyDescent="0.25">
      <c r="B57" s="77"/>
      <c r="C57" s="81" t="s">
        <v>137</v>
      </c>
      <c r="D57" s="425"/>
      <c r="E57" s="415">
        <f>D57*sõiduk_tavaelektriratas_2023/1000</f>
        <v>0</v>
      </c>
    </row>
    <row r="58" spans="2:6" ht="14.65" customHeight="1" thickBot="1" x14ac:dyDescent="0.3">
      <c r="B58" s="85"/>
      <c r="C58" s="319" t="s">
        <v>138</v>
      </c>
      <c r="D58" s="426"/>
      <c r="E58" s="427">
        <f>D58*tööle_koju_jalgsi/1000</f>
        <v>0</v>
      </c>
    </row>
    <row r="59" spans="2:6" ht="14.65" customHeight="1" thickBot="1" x14ac:dyDescent="0.3">
      <c r="B59" s="130"/>
      <c r="C59" s="222" t="s">
        <v>139</v>
      </c>
      <c r="D59" s="273"/>
      <c r="E59" s="428">
        <f>SUM(E39:E58)</f>
        <v>0</v>
      </c>
    </row>
    <row r="60" spans="2:6" ht="14.65" customHeight="1" x14ac:dyDescent="0.25">
      <c r="B60" s="208"/>
      <c r="C60" s="220"/>
      <c r="D60" s="93"/>
      <c r="E60"/>
    </row>
    <row r="61" spans="2:6" ht="14.65" customHeight="1" thickBot="1" x14ac:dyDescent="0.3">
      <c r="B61" s="208"/>
      <c r="C61" s="220"/>
      <c r="D61" s="93"/>
      <c r="E61"/>
    </row>
    <row r="62" spans="2:6" ht="14.65" customHeight="1" x14ac:dyDescent="0.25">
      <c r="B62" s="591" t="s">
        <v>9</v>
      </c>
      <c r="C62" s="591" t="s">
        <v>10</v>
      </c>
      <c r="D62" s="641" t="s">
        <v>126</v>
      </c>
      <c r="E62" s="632" t="s">
        <v>127</v>
      </c>
    </row>
    <row r="63" spans="2:6" ht="27" customHeight="1" thickBot="1" x14ac:dyDescent="0.3">
      <c r="B63" s="593"/>
      <c r="C63" s="593"/>
      <c r="D63" s="642"/>
      <c r="E63" s="634"/>
    </row>
    <row r="64" spans="2:6" ht="14.65" customHeight="1" x14ac:dyDescent="0.25">
      <c r="B64" s="128">
        <f>ÜLDANDMED!E11</f>
        <v>2024</v>
      </c>
      <c r="C64" s="76" t="s">
        <v>128</v>
      </c>
      <c r="D64" s="271"/>
      <c r="E64" s="229"/>
    </row>
    <row r="65" spans="2:6" ht="14.65" customHeight="1" x14ac:dyDescent="0.25">
      <c r="B65" s="82"/>
      <c r="C65" s="81" t="s">
        <v>109</v>
      </c>
      <c r="D65" s="425"/>
      <c r="E65" s="415">
        <f>D65*sõiduauto_bensiin_2024/1000</f>
        <v>0</v>
      </c>
    </row>
    <row r="66" spans="2:6" ht="14.65" customHeight="1" x14ac:dyDescent="0.25">
      <c r="B66" s="82"/>
      <c r="C66" s="81" t="s">
        <v>110</v>
      </c>
      <c r="D66" s="425"/>
      <c r="E66" s="415">
        <f>D66*sõiduauto_diisel_2024/1000</f>
        <v>0</v>
      </c>
    </row>
    <row r="67" spans="2:6" ht="14.65" customHeight="1" x14ac:dyDescent="0.25">
      <c r="B67" s="82"/>
      <c r="C67" s="214" t="s">
        <v>352</v>
      </c>
      <c r="D67" s="425"/>
      <c r="E67" s="415">
        <f>D67*sõiduauto_bioCNG_2024/1000</f>
        <v>0</v>
      </c>
    </row>
    <row r="68" spans="2:6" ht="14.65" customHeight="1" x14ac:dyDescent="0.25">
      <c r="B68" s="82"/>
      <c r="C68" s="214" t="s">
        <v>353</v>
      </c>
      <c r="D68" s="425"/>
      <c r="E68" s="415">
        <f>D68*sõiduauto_CNG_2022/1000</f>
        <v>0</v>
      </c>
    </row>
    <row r="69" spans="2:6" ht="14.65" customHeight="1" x14ac:dyDescent="0.25">
      <c r="B69" s="82"/>
      <c r="C69" s="81" t="s">
        <v>350</v>
      </c>
      <c r="D69" s="425"/>
      <c r="E69" s="415">
        <f>D69*sõiduauto_hübriid_2024/1000</f>
        <v>0</v>
      </c>
    </row>
    <row r="70" spans="2:6" ht="14.65" customHeight="1" x14ac:dyDescent="0.25">
      <c r="B70" s="82"/>
      <c r="C70" s="81" t="s">
        <v>129</v>
      </c>
      <c r="D70" s="425"/>
      <c r="E70" s="415">
        <f>D70*sõiduauto_taastuvelekter/1000</f>
        <v>0</v>
      </c>
    </row>
    <row r="71" spans="2:6" ht="14.65" customHeight="1" x14ac:dyDescent="0.25">
      <c r="B71" s="82"/>
      <c r="C71" s="81" t="s">
        <v>130</v>
      </c>
      <c r="D71" s="425"/>
      <c r="E71" s="415">
        <f>D71*sõiduauto_tavaelekter_2024/1000</f>
        <v>0</v>
      </c>
    </row>
    <row r="72" spans="2:6" ht="14.65" customHeight="1" x14ac:dyDescent="0.25">
      <c r="B72" s="77"/>
      <c r="C72" s="71" t="s">
        <v>113</v>
      </c>
      <c r="D72" s="425"/>
      <c r="E72" s="415">
        <f>D72*sõiduk_takso_2022/1000</f>
        <v>0</v>
      </c>
    </row>
    <row r="73" spans="2:6" s="152" customFormat="1" ht="14.65" customHeight="1" x14ac:dyDescent="0.25">
      <c r="B73" s="77"/>
      <c r="C73" s="180" t="s">
        <v>131</v>
      </c>
      <c r="D73" s="272"/>
      <c r="E73" s="241"/>
    </row>
    <row r="74" spans="2:6" ht="14.65" customHeight="1" x14ac:dyDescent="0.25">
      <c r="B74" s="77"/>
      <c r="C74" s="71" t="s">
        <v>117</v>
      </c>
      <c r="D74" s="425"/>
      <c r="E74" s="415">
        <f>D74*sõiduk_buss_linnaliin_Tallinn_2024/1000</f>
        <v>0</v>
      </c>
    </row>
    <row r="75" spans="2:6" ht="14.65" customHeight="1" x14ac:dyDescent="0.25">
      <c r="B75" s="77"/>
      <c r="C75" s="71" t="s">
        <v>118</v>
      </c>
      <c r="D75" s="425"/>
      <c r="E75" s="415">
        <f>D75*sõiduk_buss_linnaliin_Eesti_2024/1000</f>
        <v>0</v>
      </c>
      <c r="F75" s="49"/>
    </row>
    <row r="76" spans="2:6" ht="14.65" customHeight="1" x14ac:dyDescent="0.25">
      <c r="B76" s="77"/>
      <c r="C76" s="71" t="s">
        <v>132</v>
      </c>
      <c r="D76" s="425"/>
      <c r="E76" s="415">
        <f>D76*sõiduk_buss_maakondlik_2024/1000</f>
        <v>0</v>
      </c>
    </row>
    <row r="77" spans="2:6" ht="14.65" customHeight="1" x14ac:dyDescent="0.25">
      <c r="B77" s="77"/>
      <c r="C77" s="71" t="s">
        <v>133</v>
      </c>
      <c r="D77" s="425"/>
      <c r="E77" s="415">
        <f>D77*sõiduk_tramm/1000</f>
        <v>0</v>
      </c>
    </row>
    <row r="78" spans="2:6" ht="14.65" customHeight="1" x14ac:dyDescent="0.25">
      <c r="B78" s="77"/>
      <c r="C78" s="71" t="s">
        <v>119</v>
      </c>
      <c r="D78" s="425"/>
      <c r="E78" s="415">
        <f>D78*sõiduk_diiselrong_2024/1000</f>
        <v>0</v>
      </c>
    </row>
    <row r="79" spans="2:6" ht="14.65" customHeight="1" x14ac:dyDescent="0.25">
      <c r="B79" s="77"/>
      <c r="C79" s="71" t="s">
        <v>120</v>
      </c>
      <c r="D79" s="425"/>
      <c r="E79" s="415">
        <f>D79*sõiduk_elektrirong/1000</f>
        <v>0</v>
      </c>
    </row>
    <row r="80" spans="2:6" ht="14.65" customHeight="1" x14ac:dyDescent="0.25">
      <c r="B80" s="77"/>
      <c r="C80" s="92" t="s">
        <v>134</v>
      </c>
      <c r="D80" s="272"/>
      <c r="E80" s="241"/>
    </row>
    <row r="81" spans="2:5" ht="14.65" customHeight="1" x14ac:dyDescent="0.25">
      <c r="B81" s="77"/>
      <c r="C81" s="207" t="s">
        <v>135</v>
      </c>
      <c r="D81" s="425"/>
      <c r="E81" s="415">
        <f>D81*sõiduk_tavajalgratas/1000</f>
        <v>0</v>
      </c>
    </row>
    <row r="82" spans="2:5" ht="14.65" customHeight="1" x14ac:dyDescent="0.25">
      <c r="B82" s="77"/>
      <c r="C82" s="207" t="s">
        <v>136</v>
      </c>
      <c r="D82" s="425"/>
      <c r="E82" s="415">
        <f>D82*sõiduk_taastuvelektriratas/1000</f>
        <v>0</v>
      </c>
    </row>
    <row r="83" spans="2:5" ht="14.65" customHeight="1" x14ac:dyDescent="0.25">
      <c r="B83" s="77"/>
      <c r="C83" s="81" t="s">
        <v>137</v>
      </c>
      <c r="D83" s="425"/>
      <c r="E83" s="415">
        <f>D83*sõiduk_tavaelektriratas_2024/1000</f>
        <v>0</v>
      </c>
    </row>
    <row r="84" spans="2:5" ht="14.65" customHeight="1" thickBot="1" x14ac:dyDescent="0.3">
      <c r="B84" s="85"/>
      <c r="C84" s="319" t="s">
        <v>138</v>
      </c>
      <c r="D84" s="426"/>
      <c r="E84" s="427">
        <f>D84*tööle_koju_jalgsi/1000</f>
        <v>0</v>
      </c>
    </row>
    <row r="85" spans="2:5" ht="14.65" customHeight="1" thickBot="1" x14ac:dyDescent="0.3">
      <c r="B85" s="130"/>
      <c r="C85" s="222" t="s">
        <v>139</v>
      </c>
      <c r="D85" s="273"/>
      <c r="E85" s="428">
        <f>SUM(E65:E84)</f>
        <v>0</v>
      </c>
    </row>
    <row r="86" spans="2:5" ht="14.65" customHeight="1" x14ac:dyDescent="0.25">
      <c r="B86" s="208"/>
      <c r="C86" s="220"/>
      <c r="D86" s="93"/>
      <c r="E86"/>
    </row>
    <row r="87" spans="2:5" ht="14.65" customHeight="1" thickBot="1" x14ac:dyDescent="0.3">
      <c r="C87"/>
      <c r="D87" s="93"/>
    </row>
    <row r="88" spans="2:5" ht="14.65" customHeight="1" x14ac:dyDescent="0.25">
      <c r="B88" s="591" t="s">
        <v>9</v>
      </c>
      <c r="C88" s="591" t="s">
        <v>10</v>
      </c>
      <c r="D88" s="641" t="s">
        <v>126</v>
      </c>
      <c r="E88" s="632" t="s">
        <v>127</v>
      </c>
    </row>
    <row r="89" spans="2:5" ht="27.6" customHeight="1" thickBot="1" x14ac:dyDescent="0.3">
      <c r="B89" s="593"/>
      <c r="C89" s="593"/>
      <c r="D89" s="642"/>
      <c r="E89" s="634"/>
    </row>
    <row r="90" spans="2:5" ht="14.65" customHeight="1" x14ac:dyDescent="0.25">
      <c r="B90" s="128">
        <f>ÜLDANDMED!F11</f>
        <v>2025</v>
      </c>
      <c r="C90" s="76" t="s">
        <v>128</v>
      </c>
      <c r="D90" s="271"/>
      <c r="E90" s="229"/>
    </row>
    <row r="91" spans="2:5" ht="14.65" customHeight="1" x14ac:dyDescent="0.25">
      <c r="B91" s="82"/>
      <c r="C91" s="81" t="s">
        <v>109</v>
      </c>
      <c r="D91" s="425"/>
      <c r="E91" s="415">
        <f>D91*sõiduauto_bensiin_2025/1000</f>
        <v>0</v>
      </c>
    </row>
    <row r="92" spans="2:5" ht="14.65" customHeight="1" x14ac:dyDescent="0.25">
      <c r="B92" s="82"/>
      <c r="C92" s="81" t="s">
        <v>110</v>
      </c>
      <c r="D92" s="425"/>
      <c r="E92" s="415">
        <f>D92*sõiduauto_diisel_2025/1000</f>
        <v>0</v>
      </c>
    </row>
    <row r="93" spans="2:5" ht="14.65" customHeight="1" x14ac:dyDescent="0.25">
      <c r="B93" s="82"/>
      <c r="C93" s="214" t="s">
        <v>352</v>
      </c>
      <c r="D93" s="425"/>
      <c r="E93" s="415">
        <f>D93*sõiduauto_bioCNG_2025/1000</f>
        <v>0</v>
      </c>
    </row>
    <row r="94" spans="2:5" ht="14.65" customHeight="1" x14ac:dyDescent="0.25">
      <c r="B94" s="82"/>
      <c r="C94" s="214" t="s">
        <v>353</v>
      </c>
      <c r="D94" s="425"/>
      <c r="E94" s="415">
        <f>D94*sõiduauto_CNG_2022/1000</f>
        <v>0</v>
      </c>
    </row>
    <row r="95" spans="2:5" ht="14.65" customHeight="1" x14ac:dyDescent="0.25">
      <c r="B95" s="82"/>
      <c r="C95" s="81" t="s">
        <v>350</v>
      </c>
      <c r="D95" s="425"/>
      <c r="E95" s="415">
        <f>D95*sõiduauto_hübriid_2025/1000</f>
        <v>0</v>
      </c>
    </row>
    <row r="96" spans="2:5" ht="14.65" customHeight="1" x14ac:dyDescent="0.25">
      <c r="B96" s="82"/>
      <c r="C96" s="81" t="s">
        <v>129</v>
      </c>
      <c r="D96" s="425"/>
      <c r="E96" s="415">
        <f>D96*sõiduauto_taastuvelekter/1000</f>
        <v>0</v>
      </c>
    </row>
    <row r="97" spans="2:6" ht="14.65" customHeight="1" x14ac:dyDescent="0.25">
      <c r="B97" s="82"/>
      <c r="C97" s="81" t="s">
        <v>130</v>
      </c>
      <c r="D97" s="425"/>
      <c r="E97" s="415">
        <f>D97*sõiduauto_tavaelekter_2025/1000</f>
        <v>0</v>
      </c>
    </row>
    <row r="98" spans="2:6" ht="14.65" customHeight="1" x14ac:dyDescent="0.25">
      <c r="B98" s="77"/>
      <c r="C98" s="71" t="s">
        <v>113</v>
      </c>
      <c r="D98" s="425"/>
      <c r="E98" s="415">
        <f>D98*sõiduk_takso_2022/1000</f>
        <v>0</v>
      </c>
    </row>
    <row r="99" spans="2:6" s="152" customFormat="1" ht="14.65" customHeight="1" x14ac:dyDescent="0.25">
      <c r="B99" s="77"/>
      <c r="C99" s="180" t="s">
        <v>131</v>
      </c>
      <c r="D99" s="272"/>
      <c r="E99" s="241"/>
    </row>
    <row r="100" spans="2:6" ht="14.65" customHeight="1" x14ac:dyDescent="0.25">
      <c r="B100" s="77"/>
      <c r="C100" s="71" t="s">
        <v>117</v>
      </c>
      <c r="D100" s="425"/>
      <c r="E100" s="415">
        <f>D100*sõiduk_buss_linnaliin_Tallinn_2025/1000</f>
        <v>0</v>
      </c>
    </row>
    <row r="101" spans="2:6" ht="14.65" customHeight="1" x14ac:dyDescent="0.25">
      <c r="B101" s="77"/>
      <c r="C101" s="71" t="s">
        <v>118</v>
      </c>
      <c r="D101" s="425"/>
      <c r="E101" s="415">
        <f>D101*sõiduk_buss_linnaliin_Eesti_2025/1000</f>
        <v>0</v>
      </c>
      <c r="F101" s="49"/>
    </row>
    <row r="102" spans="2:6" ht="14.65" customHeight="1" x14ac:dyDescent="0.25">
      <c r="B102" s="77"/>
      <c r="C102" s="71" t="s">
        <v>132</v>
      </c>
      <c r="D102" s="425"/>
      <c r="E102" s="415">
        <f>D102*sõiduk_buss_maakondlik_2025/1000</f>
        <v>0</v>
      </c>
    </row>
    <row r="103" spans="2:6" ht="14.65" customHeight="1" x14ac:dyDescent="0.25">
      <c r="B103" s="77"/>
      <c r="C103" s="71" t="s">
        <v>133</v>
      </c>
      <c r="D103" s="425"/>
      <c r="E103" s="415">
        <f>D103*sõiduk_tramm/1000</f>
        <v>0</v>
      </c>
    </row>
    <row r="104" spans="2:6" ht="14.65" customHeight="1" x14ac:dyDescent="0.25">
      <c r="B104" s="77"/>
      <c r="C104" s="71" t="s">
        <v>119</v>
      </c>
      <c r="D104" s="425"/>
      <c r="E104" s="415">
        <f>D104*sõiduk_diiselrong_2025/1000</f>
        <v>0</v>
      </c>
    </row>
    <row r="105" spans="2:6" ht="14.65" customHeight="1" x14ac:dyDescent="0.25">
      <c r="B105" s="77"/>
      <c r="C105" s="71" t="s">
        <v>120</v>
      </c>
      <c r="D105" s="425"/>
      <c r="E105" s="415">
        <f>D105*sõiduk_elektrirong/1000</f>
        <v>0</v>
      </c>
    </row>
    <row r="106" spans="2:6" ht="14.65" customHeight="1" x14ac:dyDescent="0.25">
      <c r="B106" s="77"/>
      <c r="C106" s="92" t="s">
        <v>134</v>
      </c>
      <c r="D106" s="272"/>
      <c r="E106" s="241"/>
    </row>
    <row r="107" spans="2:6" ht="14.65" customHeight="1" x14ac:dyDescent="0.25">
      <c r="B107" s="77"/>
      <c r="C107" s="207" t="s">
        <v>135</v>
      </c>
      <c r="D107" s="425"/>
      <c r="E107" s="415">
        <f>D107*sõiduk_tavajalgratas/1000</f>
        <v>0</v>
      </c>
    </row>
    <row r="108" spans="2:6" ht="14.65" customHeight="1" x14ac:dyDescent="0.25">
      <c r="B108" s="77"/>
      <c r="C108" s="207" t="s">
        <v>136</v>
      </c>
      <c r="D108" s="425"/>
      <c r="E108" s="415">
        <f>D108*sõiduk_taastuvelektriratas/1000</f>
        <v>0</v>
      </c>
    </row>
    <row r="109" spans="2:6" ht="14.65" customHeight="1" x14ac:dyDescent="0.25">
      <c r="B109" s="77"/>
      <c r="C109" s="81" t="s">
        <v>137</v>
      </c>
      <c r="D109" s="425"/>
      <c r="E109" s="415">
        <f>D109*sõiduk_tavaelektriratas_2025/1000</f>
        <v>0</v>
      </c>
    </row>
    <row r="110" spans="2:6" ht="14.65" customHeight="1" thickBot="1" x14ac:dyDescent="0.3">
      <c r="B110" s="85"/>
      <c r="C110" s="319" t="s">
        <v>138</v>
      </c>
      <c r="D110" s="426"/>
      <c r="E110" s="427">
        <f>D110*tööle_koju_jalgsi/1000</f>
        <v>0</v>
      </c>
    </row>
    <row r="111" spans="2:6" ht="14.65" customHeight="1" thickBot="1" x14ac:dyDescent="0.3">
      <c r="B111" s="130"/>
      <c r="C111" s="222" t="s">
        <v>139</v>
      </c>
      <c r="D111" s="273"/>
      <c r="E111" s="428">
        <f>SUM(E91:E110)</f>
        <v>0</v>
      </c>
    </row>
    <row r="112" spans="2:6" ht="14.65" customHeight="1" x14ac:dyDescent="0.25">
      <c r="B112" s="208"/>
      <c r="C112" s="220"/>
      <c r="D112" s="93"/>
      <c r="E112"/>
    </row>
    <row r="113" spans="2:6" ht="14.65" customHeight="1" thickBot="1" x14ac:dyDescent="0.3">
      <c r="B113" s="208"/>
      <c r="C113" s="220"/>
      <c r="D113" s="93"/>
      <c r="E113"/>
    </row>
    <row r="114" spans="2:6" ht="14.65" customHeight="1" x14ac:dyDescent="0.25">
      <c r="B114" s="591" t="s">
        <v>9</v>
      </c>
      <c r="C114" s="591" t="s">
        <v>10</v>
      </c>
      <c r="D114" s="641" t="s">
        <v>126</v>
      </c>
      <c r="E114" s="632" t="s">
        <v>127</v>
      </c>
    </row>
    <row r="115" spans="2:6" ht="24.6" customHeight="1" thickBot="1" x14ac:dyDescent="0.3">
      <c r="B115" s="593"/>
      <c r="C115" s="593"/>
      <c r="D115" s="642"/>
      <c r="E115" s="634"/>
    </row>
    <row r="116" spans="2:6" ht="14.65" customHeight="1" x14ac:dyDescent="0.25">
      <c r="B116" s="128">
        <f>ÜLDANDMED!G11</f>
        <v>2026</v>
      </c>
      <c r="C116" s="76" t="s">
        <v>128</v>
      </c>
      <c r="D116" s="271"/>
      <c r="E116" s="229"/>
    </row>
    <row r="117" spans="2:6" ht="14.65" customHeight="1" x14ac:dyDescent="0.25">
      <c r="B117" s="82"/>
      <c r="C117" s="81" t="s">
        <v>109</v>
      </c>
      <c r="D117" s="425"/>
      <c r="E117" s="415">
        <f>D117*sõiduauto_bensiin_2026/1000</f>
        <v>0</v>
      </c>
    </row>
    <row r="118" spans="2:6" ht="14.65" customHeight="1" x14ac:dyDescent="0.25">
      <c r="B118" s="82"/>
      <c r="C118" s="81" t="s">
        <v>110</v>
      </c>
      <c r="D118" s="425"/>
      <c r="E118" s="415">
        <f>D118*sõiduauto_diisel_2026/1000</f>
        <v>0</v>
      </c>
    </row>
    <row r="119" spans="2:6" ht="14.65" customHeight="1" x14ac:dyDescent="0.25">
      <c r="B119" s="82"/>
      <c r="C119" s="214" t="s">
        <v>352</v>
      </c>
      <c r="D119" s="425"/>
      <c r="E119" s="415">
        <f>D119*sõiduauto_bioCNG_2026/1000</f>
        <v>0</v>
      </c>
    </row>
    <row r="120" spans="2:6" ht="14.65" customHeight="1" x14ac:dyDescent="0.25">
      <c r="B120" s="82"/>
      <c r="C120" s="214" t="s">
        <v>353</v>
      </c>
      <c r="D120" s="425"/>
      <c r="E120" s="415">
        <f>D120*sõiduauto_CNG_2022/1000</f>
        <v>0</v>
      </c>
    </row>
    <row r="121" spans="2:6" ht="14.65" customHeight="1" x14ac:dyDescent="0.25">
      <c r="B121" s="82"/>
      <c r="C121" s="81" t="s">
        <v>350</v>
      </c>
      <c r="D121" s="425"/>
      <c r="E121" s="415">
        <f>D121*sõiduauto_hübriid_2026/1000</f>
        <v>0</v>
      </c>
    </row>
    <row r="122" spans="2:6" ht="14.65" customHeight="1" x14ac:dyDescent="0.25">
      <c r="B122" s="82"/>
      <c r="C122" s="81" t="s">
        <v>129</v>
      </c>
      <c r="D122" s="425"/>
      <c r="E122" s="415">
        <f>D122*sõiduauto_taastuvelekter/1000</f>
        <v>0</v>
      </c>
    </row>
    <row r="123" spans="2:6" ht="14.65" customHeight="1" x14ac:dyDescent="0.25">
      <c r="B123" s="82"/>
      <c r="C123" s="81" t="s">
        <v>130</v>
      </c>
      <c r="D123" s="425"/>
      <c r="E123" s="415">
        <f>D123*sõiduauto_tavaelekter_2026/1000</f>
        <v>0</v>
      </c>
    </row>
    <row r="124" spans="2:6" ht="14.65" customHeight="1" x14ac:dyDescent="0.25">
      <c r="B124" s="77"/>
      <c r="C124" s="71" t="s">
        <v>113</v>
      </c>
      <c r="D124" s="425"/>
      <c r="E124" s="415">
        <f>D124*sõiduk_takso_2022/1000</f>
        <v>0</v>
      </c>
    </row>
    <row r="125" spans="2:6" s="152" customFormat="1" ht="14.65" customHeight="1" x14ac:dyDescent="0.25">
      <c r="B125" s="77"/>
      <c r="C125" s="180" t="s">
        <v>131</v>
      </c>
      <c r="D125" s="272"/>
      <c r="E125" s="241"/>
    </row>
    <row r="126" spans="2:6" ht="14.65" customHeight="1" x14ac:dyDescent="0.25">
      <c r="B126" s="77"/>
      <c r="C126" s="71" t="s">
        <v>117</v>
      </c>
      <c r="D126" s="425"/>
      <c r="E126" s="415">
        <f>D126*sõiduk_buss_linnaliin_Tallinn_2026/1000</f>
        <v>0</v>
      </c>
    </row>
    <row r="127" spans="2:6" ht="14.65" customHeight="1" x14ac:dyDescent="0.25">
      <c r="B127" s="77"/>
      <c r="C127" s="71" t="s">
        <v>118</v>
      </c>
      <c r="D127" s="425"/>
      <c r="E127" s="415">
        <f>D127*sõiduk_buss_linnaliin_Eesti_2026/1000</f>
        <v>0</v>
      </c>
      <c r="F127" s="49"/>
    </row>
    <row r="128" spans="2:6" ht="14.65" customHeight="1" x14ac:dyDescent="0.25">
      <c r="B128" s="77"/>
      <c r="C128" s="71" t="s">
        <v>132</v>
      </c>
      <c r="D128" s="425"/>
      <c r="E128" s="415">
        <f>D128*sõiduk_buss_maakondlik_2026/1000</f>
        <v>0</v>
      </c>
    </row>
    <row r="129" spans="2:5" ht="14.65" customHeight="1" x14ac:dyDescent="0.25">
      <c r="B129" s="77"/>
      <c r="C129" s="71" t="s">
        <v>133</v>
      </c>
      <c r="D129" s="425"/>
      <c r="E129" s="415">
        <f>D129*sõiduk_tramm/1000</f>
        <v>0</v>
      </c>
    </row>
    <row r="130" spans="2:5" ht="14.65" customHeight="1" x14ac:dyDescent="0.25">
      <c r="B130" s="77"/>
      <c r="C130" s="71" t="s">
        <v>119</v>
      </c>
      <c r="D130" s="425"/>
      <c r="E130" s="415">
        <f>D130*sõiduk_diiselrong_2026/1000</f>
        <v>0</v>
      </c>
    </row>
    <row r="131" spans="2:5" ht="14.65" customHeight="1" x14ac:dyDescent="0.25">
      <c r="B131" s="77"/>
      <c r="C131" s="71" t="s">
        <v>120</v>
      </c>
      <c r="D131" s="425"/>
      <c r="E131" s="415">
        <f>D131*sõiduk_elektrirong/1000</f>
        <v>0</v>
      </c>
    </row>
    <row r="132" spans="2:5" ht="14.65" customHeight="1" x14ac:dyDescent="0.25">
      <c r="B132" s="77"/>
      <c r="C132" s="92" t="s">
        <v>134</v>
      </c>
      <c r="D132" s="272"/>
      <c r="E132" s="241"/>
    </row>
    <row r="133" spans="2:5" ht="14.65" customHeight="1" x14ac:dyDescent="0.25">
      <c r="B133" s="77"/>
      <c r="C133" s="207" t="s">
        <v>135</v>
      </c>
      <c r="D133" s="425"/>
      <c r="E133" s="415">
        <f>D133*sõiduk_tavajalgratas/1000</f>
        <v>0</v>
      </c>
    </row>
    <row r="134" spans="2:5" ht="14.65" customHeight="1" x14ac:dyDescent="0.25">
      <c r="B134" s="77"/>
      <c r="C134" s="207" t="s">
        <v>136</v>
      </c>
      <c r="D134" s="425"/>
      <c r="E134" s="415">
        <f>D134*sõiduk_taastuvelektriratas/1000</f>
        <v>0</v>
      </c>
    </row>
    <row r="135" spans="2:5" ht="14.65" customHeight="1" x14ac:dyDescent="0.25">
      <c r="B135" s="77"/>
      <c r="C135" s="81" t="s">
        <v>137</v>
      </c>
      <c r="D135" s="425"/>
      <c r="E135" s="415">
        <f>D135*sõiduk_tavaelektriratas_2026/1000</f>
        <v>0</v>
      </c>
    </row>
    <row r="136" spans="2:5" ht="14.65" customHeight="1" thickBot="1" x14ac:dyDescent="0.3">
      <c r="B136" s="85"/>
      <c r="C136" s="319" t="s">
        <v>138</v>
      </c>
      <c r="D136" s="426"/>
      <c r="E136" s="427">
        <f>D136*tööle_koju_jalgsi/1000</f>
        <v>0</v>
      </c>
    </row>
    <row r="137" spans="2:5" ht="14.65" customHeight="1" thickBot="1" x14ac:dyDescent="0.3">
      <c r="B137" s="130"/>
      <c r="C137" s="222" t="s">
        <v>139</v>
      </c>
      <c r="D137" s="273"/>
      <c r="E137" s="428">
        <f>SUM(E117:E136)</f>
        <v>0</v>
      </c>
    </row>
    <row r="138" spans="2:5" ht="14.65" customHeight="1" x14ac:dyDescent="0.25">
      <c r="B138" s="208"/>
      <c r="C138" s="220"/>
      <c r="D138" s="93"/>
      <c r="E138"/>
    </row>
    <row r="139" spans="2:5" ht="14.65" customHeight="1" thickBot="1" x14ac:dyDescent="0.3">
      <c r="B139" s="208"/>
      <c r="C139" s="220"/>
      <c r="D139" s="93"/>
      <c r="E139"/>
    </row>
    <row r="140" spans="2:5" ht="14.65" customHeight="1" x14ac:dyDescent="0.25">
      <c r="B140" s="591" t="s">
        <v>9</v>
      </c>
      <c r="C140" s="591" t="s">
        <v>10</v>
      </c>
      <c r="D140" s="641" t="s">
        <v>126</v>
      </c>
      <c r="E140" s="632" t="s">
        <v>127</v>
      </c>
    </row>
    <row r="141" spans="2:5" ht="35.65" customHeight="1" thickBot="1" x14ac:dyDescent="0.3">
      <c r="B141" s="593"/>
      <c r="C141" s="593"/>
      <c r="D141" s="642"/>
      <c r="E141" s="634"/>
    </row>
    <row r="142" spans="2:5" ht="14.65" customHeight="1" x14ac:dyDescent="0.25">
      <c r="B142" s="128">
        <f>ÜLDANDMED!H11</f>
        <v>2027</v>
      </c>
      <c r="C142" s="76" t="s">
        <v>128</v>
      </c>
      <c r="D142" s="271"/>
      <c r="E142" s="229"/>
    </row>
    <row r="143" spans="2:5" ht="14.65" customHeight="1" x14ac:dyDescent="0.25">
      <c r="B143" s="82"/>
      <c r="C143" s="81" t="s">
        <v>109</v>
      </c>
      <c r="D143" s="425"/>
      <c r="E143" s="415">
        <f>D143*sõiduauto_bensiin_2027/1000</f>
        <v>0</v>
      </c>
    </row>
    <row r="144" spans="2:5" ht="14.65" customHeight="1" x14ac:dyDescent="0.25">
      <c r="B144" s="82"/>
      <c r="C144" s="81" t="s">
        <v>110</v>
      </c>
      <c r="D144" s="425"/>
      <c r="E144" s="415">
        <f>D144*sõiduauto_diisel_2027/1000</f>
        <v>0</v>
      </c>
    </row>
    <row r="145" spans="2:6" ht="14.65" customHeight="1" x14ac:dyDescent="0.25">
      <c r="B145" s="82"/>
      <c r="C145" s="214" t="s">
        <v>352</v>
      </c>
      <c r="D145" s="425"/>
      <c r="E145" s="415">
        <f>D145*sõiduauto_bioCNG_2027/1000</f>
        <v>0</v>
      </c>
    </row>
    <row r="146" spans="2:6" ht="14.65" customHeight="1" x14ac:dyDescent="0.25">
      <c r="B146" s="82"/>
      <c r="C146" s="214" t="s">
        <v>353</v>
      </c>
      <c r="D146" s="425"/>
      <c r="E146" s="415">
        <f>D146*sõiduauto_CNG_2022/1000</f>
        <v>0</v>
      </c>
    </row>
    <row r="147" spans="2:6" ht="14.65" customHeight="1" x14ac:dyDescent="0.25">
      <c r="B147" s="82"/>
      <c r="C147" s="81" t="s">
        <v>350</v>
      </c>
      <c r="D147" s="425"/>
      <c r="E147" s="415">
        <f>D147*sõiduauto_hübriid_2027/1000</f>
        <v>0</v>
      </c>
    </row>
    <row r="148" spans="2:6" ht="14.65" customHeight="1" x14ac:dyDescent="0.25">
      <c r="B148" s="82"/>
      <c r="C148" s="81" t="s">
        <v>129</v>
      </c>
      <c r="D148" s="425"/>
      <c r="E148" s="415">
        <f>D148*sõiduauto_taastuvelekter/1000</f>
        <v>0</v>
      </c>
    </row>
    <row r="149" spans="2:6" ht="14.65" customHeight="1" x14ac:dyDescent="0.25">
      <c r="B149" s="82"/>
      <c r="C149" s="81" t="s">
        <v>130</v>
      </c>
      <c r="D149" s="425"/>
      <c r="E149" s="415">
        <f>D149*sõiduauto_tavaelekter_2027/1000</f>
        <v>0</v>
      </c>
    </row>
    <row r="150" spans="2:6" ht="14.65" customHeight="1" x14ac:dyDescent="0.25">
      <c r="B150" s="77"/>
      <c r="C150" s="71" t="s">
        <v>113</v>
      </c>
      <c r="D150" s="425"/>
      <c r="E150" s="415">
        <f>D150*sõiduk_takso_2022/1000</f>
        <v>0</v>
      </c>
    </row>
    <row r="151" spans="2:6" s="152" customFormat="1" ht="14.65" customHeight="1" x14ac:dyDescent="0.25">
      <c r="B151" s="77"/>
      <c r="C151" s="180" t="s">
        <v>131</v>
      </c>
      <c r="D151" s="272"/>
      <c r="E151" s="241"/>
    </row>
    <row r="152" spans="2:6" ht="14.65" customHeight="1" x14ac:dyDescent="0.25">
      <c r="B152" s="77"/>
      <c r="C152" s="71" t="s">
        <v>117</v>
      </c>
      <c r="D152" s="425"/>
      <c r="E152" s="415">
        <f>D152*sõiduk_buss_linnaliin_Tallinn_2027/1000</f>
        <v>0</v>
      </c>
    </row>
    <row r="153" spans="2:6" ht="14.65" customHeight="1" x14ac:dyDescent="0.25">
      <c r="B153" s="77"/>
      <c r="C153" s="71" t="s">
        <v>118</v>
      </c>
      <c r="D153" s="425"/>
      <c r="E153" s="415">
        <f>D153*sõiduk_buss_linnaliin_Eesti_2027/1000</f>
        <v>0</v>
      </c>
      <c r="F153" s="49"/>
    </row>
    <row r="154" spans="2:6" ht="14.65" customHeight="1" x14ac:dyDescent="0.25">
      <c r="B154" s="77"/>
      <c r="C154" s="71" t="s">
        <v>132</v>
      </c>
      <c r="D154" s="425"/>
      <c r="E154" s="415">
        <f>D154*sõiduk_buss_maakondlik_2027/1000</f>
        <v>0</v>
      </c>
    </row>
    <row r="155" spans="2:6" ht="14.65" customHeight="1" x14ac:dyDescent="0.25">
      <c r="B155" s="77"/>
      <c r="C155" s="71" t="s">
        <v>133</v>
      </c>
      <c r="D155" s="425"/>
      <c r="E155" s="415">
        <f>D155*sõiduk_tramm/1000</f>
        <v>0</v>
      </c>
    </row>
    <row r="156" spans="2:6" ht="14.65" customHeight="1" x14ac:dyDescent="0.25">
      <c r="B156" s="77"/>
      <c r="C156" s="71" t="s">
        <v>119</v>
      </c>
      <c r="D156" s="425"/>
      <c r="E156" s="415">
        <f>D156*sõiduk_diiselrong_2027/1000</f>
        <v>0</v>
      </c>
    </row>
    <row r="157" spans="2:6" ht="14.65" customHeight="1" x14ac:dyDescent="0.25">
      <c r="B157" s="77"/>
      <c r="C157" s="71" t="s">
        <v>120</v>
      </c>
      <c r="D157" s="425"/>
      <c r="E157" s="415">
        <f>D157*sõiduk_elektrirong/1000</f>
        <v>0</v>
      </c>
    </row>
    <row r="158" spans="2:6" ht="14.65" customHeight="1" x14ac:dyDescent="0.25">
      <c r="B158" s="77"/>
      <c r="C158" s="92" t="s">
        <v>134</v>
      </c>
      <c r="D158" s="272"/>
      <c r="E158" s="241"/>
    </row>
    <row r="159" spans="2:6" ht="14.65" customHeight="1" x14ac:dyDescent="0.25">
      <c r="B159" s="77"/>
      <c r="C159" s="207" t="s">
        <v>135</v>
      </c>
      <c r="D159" s="425"/>
      <c r="E159" s="415">
        <f>D159*sõiduk_tavajalgratas/1000</f>
        <v>0</v>
      </c>
    </row>
    <row r="160" spans="2:6" ht="14.65" customHeight="1" x14ac:dyDescent="0.25">
      <c r="B160" s="77"/>
      <c r="C160" s="207" t="s">
        <v>136</v>
      </c>
      <c r="D160" s="425"/>
      <c r="E160" s="415">
        <f>D160*sõiduk_taastuvelektriratas/1000</f>
        <v>0</v>
      </c>
    </row>
    <row r="161" spans="2:5" ht="14.65" customHeight="1" x14ac:dyDescent="0.25">
      <c r="B161" s="77"/>
      <c r="C161" s="81" t="s">
        <v>137</v>
      </c>
      <c r="D161" s="425"/>
      <c r="E161" s="415">
        <f>D161*sõiduk_tavaelektriratas_2027/1000</f>
        <v>0</v>
      </c>
    </row>
    <row r="162" spans="2:5" ht="14.65" customHeight="1" thickBot="1" x14ac:dyDescent="0.3">
      <c r="B162" s="85"/>
      <c r="C162" s="319" t="s">
        <v>138</v>
      </c>
      <c r="D162" s="426"/>
      <c r="E162" s="427">
        <f>D162*tööle_koju_jalgsi/1000</f>
        <v>0</v>
      </c>
    </row>
    <row r="163" spans="2:5" ht="14.65" customHeight="1" thickBot="1" x14ac:dyDescent="0.3">
      <c r="B163" s="130"/>
      <c r="C163" s="222" t="s">
        <v>139</v>
      </c>
      <c r="D163" s="273"/>
      <c r="E163" s="428">
        <f>SUM(E143:E162)</f>
        <v>0</v>
      </c>
    </row>
    <row r="164" spans="2:5" ht="14.65" customHeight="1" x14ac:dyDescent="0.25">
      <c r="B164" s="208"/>
      <c r="C164" s="220"/>
      <c r="D164" s="93"/>
      <c r="E164"/>
    </row>
    <row r="165" spans="2:5" ht="14.65" customHeight="1" thickBot="1" x14ac:dyDescent="0.3">
      <c r="B165" s="208"/>
      <c r="C165" s="220"/>
      <c r="D165" s="93"/>
      <c r="E165"/>
    </row>
    <row r="166" spans="2:5" ht="14.65" customHeight="1" x14ac:dyDescent="0.25">
      <c r="B166" s="591" t="s">
        <v>9</v>
      </c>
      <c r="C166" s="591" t="s">
        <v>10</v>
      </c>
      <c r="D166" s="641" t="s">
        <v>126</v>
      </c>
      <c r="E166" s="632" t="s">
        <v>127</v>
      </c>
    </row>
    <row r="167" spans="2:5" ht="32.65" customHeight="1" thickBot="1" x14ac:dyDescent="0.3">
      <c r="B167" s="593"/>
      <c r="C167" s="593"/>
      <c r="D167" s="642"/>
      <c r="E167" s="634"/>
    </row>
    <row r="168" spans="2:5" ht="14.65" customHeight="1" x14ac:dyDescent="0.25">
      <c r="B168" s="128">
        <f>ÜLDANDMED!I11</f>
        <v>2028</v>
      </c>
      <c r="C168" s="76" t="s">
        <v>128</v>
      </c>
      <c r="D168" s="271"/>
      <c r="E168" s="229"/>
    </row>
    <row r="169" spans="2:5" ht="14.65" customHeight="1" x14ac:dyDescent="0.25">
      <c r="B169" s="82"/>
      <c r="C169" s="81" t="s">
        <v>109</v>
      </c>
      <c r="D169" s="425"/>
      <c r="E169" s="415">
        <f>D169*sõiduauto_bensiin_2028/1000</f>
        <v>0</v>
      </c>
    </row>
    <row r="170" spans="2:5" ht="14.65" customHeight="1" x14ac:dyDescent="0.25">
      <c r="B170" s="82"/>
      <c r="C170" s="81" t="s">
        <v>110</v>
      </c>
      <c r="D170" s="425"/>
      <c r="E170" s="415">
        <f>D170*sõiduauto_diisel_2028/1000</f>
        <v>0</v>
      </c>
    </row>
    <row r="171" spans="2:5" ht="14.65" customHeight="1" x14ac:dyDescent="0.25">
      <c r="B171" s="82"/>
      <c r="C171" s="214" t="s">
        <v>352</v>
      </c>
      <c r="D171" s="425"/>
      <c r="E171" s="415">
        <f>D171*sõiduauto_bioCNG_2028/1000</f>
        <v>0</v>
      </c>
    </row>
    <row r="172" spans="2:5" ht="14.65" customHeight="1" x14ac:dyDescent="0.25">
      <c r="B172" s="82"/>
      <c r="C172" s="214" t="s">
        <v>353</v>
      </c>
      <c r="D172" s="425"/>
      <c r="E172" s="415">
        <f>D172*sõiduauto_CNG_2022/1000</f>
        <v>0</v>
      </c>
    </row>
    <row r="173" spans="2:5" ht="14.65" customHeight="1" x14ac:dyDescent="0.25">
      <c r="B173" s="82"/>
      <c r="C173" s="81" t="s">
        <v>350</v>
      </c>
      <c r="D173" s="425"/>
      <c r="E173" s="415">
        <f>D173*sõiduauto_hübriid_2028/1000</f>
        <v>0</v>
      </c>
    </row>
    <row r="174" spans="2:5" ht="14.65" customHeight="1" x14ac:dyDescent="0.25">
      <c r="B174" s="82"/>
      <c r="C174" s="81" t="s">
        <v>129</v>
      </c>
      <c r="D174" s="425"/>
      <c r="E174" s="415">
        <f>D174*sõiduauto_taastuvelekter/1000</f>
        <v>0</v>
      </c>
    </row>
    <row r="175" spans="2:5" ht="14.65" customHeight="1" x14ac:dyDescent="0.25">
      <c r="B175" s="82"/>
      <c r="C175" s="81" t="s">
        <v>130</v>
      </c>
      <c r="D175" s="425"/>
      <c r="E175" s="415">
        <f>D175*sõiduauto_tavaelekter_2028/1000</f>
        <v>0</v>
      </c>
    </row>
    <row r="176" spans="2:5" ht="14.65" customHeight="1" x14ac:dyDescent="0.25">
      <c r="B176" s="77"/>
      <c r="C176" s="71" t="s">
        <v>113</v>
      </c>
      <c r="D176" s="425"/>
      <c r="E176" s="415">
        <f>D176*sõiduk_takso_2022/1000</f>
        <v>0</v>
      </c>
    </row>
    <row r="177" spans="2:6" s="152" customFormat="1" ht="14.65" customHeight="1" x14ac:dyDescent="0.25">
      <c r="B177" s="77"/>
      <c r="C177" s="180" t="s">
        <v>131</v>
      </c>
      <c r="D177" s="272"/>
      <c r="E177" s="241"/>
    </row>
    <row r="178" spans="2:6" ht="14.65" customHeight="1" x14ac:dyDescent="0.25">
      <c r="B178" s="77"/>
      <c r="C178" s="71" t="s">
        <v>117</v>
      </c>
      <c r="D178" s="425"/>
      <c r="E178" s="415">
        <f>D178*sõiduk_buss_linnaliin_Tallinn_2028/1000</f>
        <v>0</v>
      </c>
    </row>
    <row r="179" spans="2:6" ht="14.65" customHeight="1" x14ac:dyDescent="0.25">
      <c r="B179" s="77"/>
      <c r="C179" s="71" t="s">
        <v>118</v>
      </c>
      <c r="D179" s="425"/>
      <c r="E179" s="415">
        <f>D179*sõiduk_buss_linnaliin_Eesti_2028/1000</f>
        <v>0</v>
      </c>
      <c r="F179" s="49"/>
    </row>
    <row r="180" spans="2:6" ht="14.65" customHeight="1" x14ac:dyDescent="0.25">
      <c r="B180" s="77"/>
      <c r="C180" s="71" t="s">
        <v>132</v>
      </c>
      <c r="D180" s="425"/>
      <c r="E180" s="415">
        <f>D180*sõiduk_buss_maakondlik_2028/1000</f>
        <v>0</v>
      </c>
    </row>
    <row r="181" spans="2:6" ht="14.65" customHeight="1" x14ac:dyDescent="0.25">
      <c r="B181" s="77"/>
      <c r="C181" s="71" t="s">
        <v>133</v>
      </c>
      <c r="D181" s="425"/>
      <c r="E181" s="415">
        <f>D181*sõiduk_tramm/1000</f>
        <v>0</v>
      </c>
    </row>
    <row r="182" spans="2:6" ht="14.65" customHeight="1" x14ac:dyDescent="0.25">
      <c r="B182" s="77"/>
      <c r="C182" s="71" t="s">
        <v>119</v>
      </c>
      <c r="D182" s="425"/>
      <c r="E182" s="415">
        <f>D182*sõiduk_diiselrong_2028/1000</f>
        <v>0</v>
      </c>
    </row>
    <row r="183" spans="2:6" ht="14.65" customHeight="1" x14ac:dyDescent="0.25">
      <c r="B183" s="77"/>
      <c r="C183" s="71" t="s">
        <v>120</v>
      </c>
      <c r="D183" s="425"/>
      <c r="E183" s="415">
        <f>D183*sõiduk_elektrirong/1000</f>
        <v>0</v>
      </c>
    </row>
    <row r="184" spans="2:6" ht="14.65" customHeight="1" x14ac:dyDescent="0.25">
      <c r="B184" s="77"/>
      <c r="C184" s="92" t="s">
        <v>134</v>
      </c>
      <c r="D184" s="272"/>
      <c r="E184" s="241"/>
    </row>
    <row r="185" spans="2:6" ht="14.65" customHeight="1" x14ac:dyDescent="0.25">
      <c r="B185" s="77"/>
      <c r="C185" s="207" t="s">
        <v>135</v>
      </c>
      <c r="D185" s="425"/>
      <c r="E185" s="415">
        <f>D185*sõiduk_tavajalgratas/1000</f>
        <v>0</v>
      </c>
    </row>
    <row r="186" spans="2:6" ht="14.65" customHeight="1" x14ac:dyDescent="0.25">
      <c r="B186" s="77"/>
      <c r="C186" s="207" t="s">
        <v>136</v>
      </c>
      <c r="D186" s="425"/>
      <c r="E186" s="415">
        <f>D186*sõiduk_taastuvelektriratas/1000</f>
        <v>0</v>
      </c>
    </row>
    <row r="187" spans="2:6" ht="14.65" customHeight="1" x14ac:dyDescent="0.25">
      <c r="B187" s="77"/>
      <c r="C187" s="81" t="s">
        <v>137</v>
      </c>
      <c r="D187" s="425"/>
      <c r="E187" s="415">
        <f>D187*sõiduk_tavaelektriratas_2028/1000</f>
        <v>0</v>
      </c>
    </row>
    <row r="188" spans="2:6" ht="14.65" customHeight="1" thickBot="1" x14ac:dyDescent="0.3">
      <c r="B188" s="85"/>
      <c r="C188" s="319" t="s">
        <v>138</v>
      </c>
      <c r="D188" s="426"/>
      <c r="E188" s="427">
        <f>D188*tööle_koju_jalgsi/1000</f>
        <v>0</v>
      </c>
    </row>
    <row r="189" spans="2:6" ht="14.65" customHeight="1" thickBot="1" x14ac:dyDescent="0.3">
      <c r="B189" s="130"/>
      <c r="C189" s="222" t="s">
        <v>139</v>
      </c>
      <c r="D189" s="273"/>
      <c r="E189" s="428">
        <f>SUM(E169:E188)</f>
        <v>0</v>
      </c>
    </row>
    <row r="190" spans="2:6" ht="14.65" customHeight="1" x14ac:dyDescent="0.25">
      <c r="C190"/>
      <c r="D190" s="93"/>
    </row>
  </sheetData>
  <mergeCells count="29">
    <mergeCell ref="B140:B141"/>
    <mergeCell ref="C140:C141"/>
    <mergeCell ref="D140:D141"/>
    <mergeCell ref="E140:E141"/>
    <mergeCell ref="B166:B167"/>
    <mergeCell ref="C166:C167"/>
    <mergeCell ref="D166:D167"/>
    <mergeCell ref="E166:E167"/>
    <mergeCell ref="E88:E89"/>
    <mergeCell ref="B114:B115"/>
    <mergeCell ref="C114:C115"/>
    <mergeCell ref="D114:D115"/>
    <mergeCell ref="E114:E115"/>
    <mergeCell ref="B88:B89"/>
    <mergeCell ref="C88:C89"/>
    <mergeCell ref="D88:D89"/>
    <mergeCell ref="B10:B11"/>
    <mergeCell ref="C10:C11"/>
    <mergeCell ref="D10:D11"/>
    <mergeCell ref="E10:E11"/>
    <mergeCell ref="B4:E4"/>
    <mergeCell ref="B36:B37"/>
    <mergeCell ref="C36:C37"/>
    <mergeCell ref="D36:D37"/>
    <mergeCell ref="E36:E37"/>
    <mergeCell ref="B62:B63"/>
    <mergeCell ref="C62:C63"/>
    <mergeCell ref="D62:D63"/>
    <mergeCell ref="E62:E63"/>
  </mergeCells>
  <dataValidations count="1">
    <dataValidation type="list" allowBlank="1" showInputMessage="1" showErrorMessage="1" sqref="K8" xr:uid="{124E6F50-0359-4667-BA0F-4AEF6C4A3BCD}">
      <formula1>$A$18:$A$24</formula1>
    </dataValidation>
  </dataValidations>
  <pageMargins left="0.70866141732283472" right="0.70866141732283472" top="0.74803149606299213" bottom="0.74803149606299213" header="0.31496062992125984" footer="0.31496062992125984"/>
  <pageSetup scale="75" fitToHeight="2"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CC45-1092-413F-87D3-4ED5C2B27B62}">
  <sheetPr>
    <tabColor rgb="FFFB8604"/>
    <pageSetUpPr fitToPage="1"/>
  </sheetPr>
  <dimension ref="B2:Q113"/>
  <sheetViews>
    <sheetView showGridLines="0" zoomScaleNormal="100" workbookViewId="0">
      <pane xSplit="1" ySplit="2" topLeftCell="B3" activePane="bottomRight" state="frozen"/>
      <selection pane="topRight" activeCell="B1" sqref="B1"/>
      <selection pane="bottomLeft" activeCell="A3" sqref="A3"/>
      <selection pane="bottomRight" activeCell="R5" sqref="R5"/>
    </sheetView>
  </sheetViews>
  <sheetFormatPr defaultRowHeight="14.65" customHeight="1" x14ac:dyDescent="0.25"/>
  <cols>
    <col min="1" max="1" width="2.5703125" customWidth="1"/>
    <col min="2" max="2" width="7.5703125" customWidth="1"/>
    <col min="3" max="3" width="43.7109375" style="3" bestFit="1" customWidth="1"/>
    <col min="4" max="4" width="15.7109375" style="3" customWidth="1"/>
    <col min="5" max="5" width="23.7109375" style="3" bestFit="1" customWidth="1"/>
    <col min="6" max="6" width="15.7109375" style="68" customWidth="1"/>
    <col min="7" max="7" width="15.7109375" style="3" customWidth="1"/>
    <col min="8" max="8" width="15.7109375" customWidth="1"/>
    <col min="9" max="9" width="16" style="3" bestFit="1" customWidth="1"/>
    <col min="10" max="10" width="15.7109375" style="39" customWidth="1"/>
  </cols>
  <sheetData>
    <row r="2" spans="2:17" ht="18.600000000000001" customHeight="1" x14ac:dyDescent="0.35">
      <c r="B2" s="28" t="s">
        <v>140</v>
      </c>
      <c r="C2" s="274"/>
      <c r="D2" s="78"/>
    </row>
    <row r="3" spans="2:17" ht="14.65" customHeight="1" x14ac:dyDescent="0.3">
      <c r="C3" s="79"/>
      <c r="D3" s="79"/>
    </row>
    <row r="4" spans="2:17" ht="111.6" customHeight="1" x14ac:dyDescent="0.25">
      <c r="B4" s="548" t="s">
        <v>501</v>
      </c>
      <c r="C4" s="555"/>
      <c r="D4" s="555"/>
      <c r="E4" s="555"/>
      <c r="F4" s="555"/>
      <c r="G4" s="555"/>
      <c r="H4" s="555"/>
      <c r="I4" s="555"/>
      <c r="J4" s="556"/>
    </row>
    <row r="6" spans="2:17" ht="14.65" customHeight="1" x14ac:dyDescent="0.25">
      <c r="B6" s="60" t="s">
        <v>2</v>
      </c>
      <c r="C6" s="80"/>
      <c r="D6" s="80"/>
    </row>
    <row r="7" spans="2:17" ht="14.65" customHeight="1" x14ac:dyDescent="0.25">
      <c r="C7" s="378" t="s">
        <v>3</v>
      </c>
      <c r="D7"/>
    </row>
    <row r="8" spans="2:17" ht="14.65" customHeight="1" x14ac:dyDescent="0.25">
      <c r="C8" s="340" t="s">
        <v>4</v>
      </c>
      <c r="D8"/>
    </row>
    <row r="9" spans="2:17" s="19" customFormat="1" ht="14.65" customHeight="1" x14ac:dyDescent="0.25">
      <c r="C9" s="150" t="s">
        <v>7</v>
      </c>
      <c r="F9" s="20"/>
      <c r="G9" s="20"/>
      <c r="H9" s="20"/>
      <c r="I9" s="20"/>
      <c r="J9" s="186"/>
      <c r="K9" s="20"/>
      <c r="L9" s="20"/>
      <c r="M9" s="20"/>
      <c r="N9" s="20"/>
      <c r="O9" s="51"/>
      <c r="P9" s="52"/>
      <c r="Q9"/>
    </row>
    <row r="10" spans="2:17" ht="14.65" customHeight="1" thickBot="1" x14ac:dyDescent="0.3"/>
    <row r="11" spans="2:17" ht="14.65" customHeight="1" x14ac:dyDescent="0.25">
      <c r="B11" s="591" t="s">
        <v>9</v>
      </c>
      <c r="C11" s="591" t="s">
        <v>10</v>
      </c>
      <c r="D11" s="645" t="s">
        <v>89</v>
      </c>
      <c r="E11" s="647" t="s">
        <v>141</v>
      </c>
      <c r="F11" s="649" t="s">
        <v>103</v>
      </c>
      <c r="G11" s="647" t="s">
        <v>142</v>
      </c>
      <c r="H11" s="649" t="s">
        <v>103</v>
      </c>
      <c r="I11" s="647" t="s">
        <v>142</v>
      </c>
      <c r="J11" s="643" t="s">
        <v>143</v>
      </c>
    </row>
    <row r="12" spans="2:17" ht="14.65" customHeight="1" x14ac:dyDescent="0.25">
      <c r="B12" s="592"/>
      <c r="C12" s="592"/>
      <c r="D12" s="646"/>
      <c r="E12" s="648"/>
      <c r="F12" s="650"/>
      <c r="G12" s="648"/>
      <c r="H12" s="650"/>
      <c r="I12" s="648"/>
      <c r="J12" s="644"/>
    </row>
    <row r="13" spans="2:17" ht="14.65" customHeight="1" x14ac:dyDescent="0.25">
      <c r="B13" s="592"/>
      <c r="C13" s="592"/>
      <c r="D13" s="646"/>
      <c r="E13" s="648"/>
      <c r="F13" s="650"/>
      <c r="G13" s="648"/>
      <c r="H13" s="650"/>
      <c r="I13" s="648"/>
      <c r="J13" s="644"/>
    </row>
    <row r="14" spans="2:17" ht="14.65" customHeight="1" thickBot="1" x14ac:dyDescent="0.3">
      <c r="B14" s="592"/>
      <c r="C14" s="592"/>
      <c r="D14" s="209" t="s">
        <v>144</v>
      </c>
      <c r="E14" s="210" t="s">
        <v>145</v>
      </c>
      <c r="F14" s="211" t="s">
        <v>107</v>
      </c>
      <c r="G14" s="210" t="s">
        <v>146</v>
      </c>
      <c r="H14" s="209" t="s">
        <v>147</v>
      </c>
      <c r="I14" s="212" t="s">
        <v>148</v>
      </c>
      <c r="J14" s="206" t="s">
        <v>149</v>
      </c>
    </row>
    <row r="15" spans="2:17" ht="14.65" customHeight="1" x14ac:dyDescent="0.25">
      <c r="B15" s="128">
        <f>ÜLDANDMED!C11</f>
        <v>2022</v>
      </c>
      <c r="C15" s="148" t="s">
        <v>150</v>
      </c>
      <c r="D15" s="190"/>
      <c r="E15" s="191"/>
      <c r="F15" s="232"/>
      <c r="G15" s="233"/>
      <c r="H15" s="192"/>
      <c r="I15" s="191"/>
      <c r="J15" s="234"/>
    </row>
    <row r="16" spans="2:17" ht="14.65" customHeight="1" x14ac:dyDescent="0.25">
      <c r="B16" s="87"/>
      <c r="C16" s="71" t="s">
        <v>151</v>
      </c>
      <c r="D16" s="437"/>
      <c r="E16" s="429">
        <f>D16*kütus_bensiin_kaubik_2022/1000</f>
        <v>0</v>
      </c>
      <c r="F16" s="440"/>
      <c r="G16" s="431">
        <f>F16*transport_kaubik_bensiin_km_2022/1000</f>
        <v>0</v>
      </c>
      <c r="H16" s="443"/>
      <c r="I16" s="429">
        <f>H16*transport_kaubik_bensiin_tonnkm_2022/1000</f>
        <v>0</v>
      </c>
      <c r="J16" s="433">
        <f>SUM(E16+G16+I16)</f>
        <v>0</v>
      </c>
    </row>
    <row r="17" spans="2:10" ht="14.65" customHeight="1" x14ac:dyDescent="0.25">
      <c r="B17" s="87"/>
      <c r="C17" s="71" t="s">
        <v>152</v>
      </c>
      <c r="D17" s="437"/>
      <c r="E17" s="429">
        <f>D17*kütus_diisel_kaubik_2022/1000</f>
        <v>0</v>
      </c>
      <c r="F17" s="440"/>
      <c r="G17" s="431">
        <f>F17*transport_kaubik_diisel_km_2022/1000</f>
        <v>0</v>
      </c>
      <c r="H17" s="443"/>
      <c r="I17" s="429">
        <f>H17*transport_kaubik_diisel_tonnkm_2022/1000</f>
        <v>0</v>
      </c>
      <c r="J17" s="433">
        <f t="shared" ref="J17:J19" si="0">SUM(E17+G17+I17)</f>
        <v>0</v>
      </c>
    </row>
    <row r="18" spans="2:10" ht="14.65" customHeight="1" x14ac:dyDescent="0.25">
      <c r="B18" s="77"/>
      <c r="C18" s="84" t="s">
        <v>153</v>
      </c>
      <c r="D18" s="437"/>
      <c r="E18" s="429">
        <f>D18*kütus_taastuvelekter/1000</f>
        <v>0</v>
      </c>
      <c r="F18" s="440"/>
      <c r="G18" s="431">
        <f>F18*kütus_taastuvelekter/1000</f>
        <v>0</v>
      </c>
      <c r="H18" s="443"/>
      <c r="I18" s="429">
        <f>H18*kütus_taastuvelekter/1000</f>
        <v>0</v>
      </c>
      <c r="J18" s="433">
        <f t="shared" si="0"/>
        <v>0</v>
      </c>
    </row>
    <row r="19" spans="2:10" ht="14.65" customHeight="1" x14ac:dyDescent="0.25">
      <c r="B19" s="77"/>
      <c r="C19" s="84" t="s">
        <v>154</v>
      </c>
      <c r="D19" s="437"/>
      <c r="E19" s="429">
        <f>D19*segajääk_2022/1000</f>
        <v>0</v>
      </c>
      <c r="F19" s="440"/>
      <c r="G19" s="431">
        <f>F19*transport_kaubik_tavaelekter_km_2022/1000</f>
        <v>0</v>
      </c>
      <c r="H19" s="443"/>
      <c r="I19" s="429">
        <f>H19*transport_kaubik_tavaelekter_tonnkm_2022/1000</f>
        <v>0</v>
      </c>
      <c r="J19" s="433">
        <f t="shared" si="0"/>
        <v>0</v>
      </c>
    </row>
    <row r="20" spans="2:10" ht="14.65" customHeight="1" x14ac:dyDescent="0.25">
      <c r="B20" s="87"/>
      <c r="C20" s="189" t="s">
        <v>155</v>
      </c>
      <c r="D20" s="195"/>
      <c r="E20" s="196"/>
      <c r="F20" s="195"/>
      <c r="G20" s="197"/>
      <c r="H20" s="196"/>
      <c r="I20" s="196"/>
      <c r="J20" s="228"/>
    </row>
    <row r="21" spans="2:10" ht="14.65" customHeight="1" x14ac:dyDescent="0.25">
      <c r="B21" s="77"/>
      <c r="C21" s="47" t="s">
        <v>156</v>
      </c>
      <c r="D21" s="438"/>
      <c r="E21" s="429">
        <f>D21*kütus_diisel_buss_2022/1000</f>
        <v>0</v>
      </c>
      <c r="F21" s="441"/>
      <c r="G21" s="431">
        <f>F21*transport_buss_2022/1000</f>
        <v>0</v>
      </c>
      <c r="H21" s="230"/>
      <c r="I21" s="193"/>
      <c r="J21" s="434">
        <f>SUM(E21+G21)</f>
        <v>0</v>
      </c>
    </row>
    <row r="22" spans="2:10" ht="14.65" customHeight="1" thickBot="1" x14ac:dyDescent="0.3">
      <c r="B22" s="77"/>
      <c r="C22" s="125" t="s">
        <v>157</v>
      </c>
      <c r="D22" s="439"/>
      <c r="E22" s="430">
        <f>D22*kütus_diisel_kaubik_2022/1000</f>
        <v>0</v>
      </c>
      <c r="F22" s="442"/>
      <c r="G22" s="432">
        <f>IFERROR(F22*transport_väikebuss_2022/1000,0)</f>
        <v>0</v>
      </c>
      <c r="H22" s="231"/>
      <c r="I22" s="194"/>
      <c r="J22" s="435">
        <f>SUM(E22+G22)</f>
        <v>0</v>
      </c>
    </row>
    <row r="23" spans="2:10" ht="14.65" customHeight="1" thickBot="1" x14ac:dyDescent="0.3">
      <c r="B23" s="132"/>
      <c r="C23" s="225" t="s">
        <v>158</v>
      </c>
      <c r="D23" s="226"/>
      <c r="E23" s="227"/>
      <c r="F23" s="227"/>
      <c r="G23" s="227"/>
      <c r="H23" s="227"/>
      <c r="I23" s="221"/>
      <c r="J23" s="436">
        <f>SUM(J16:J19,J21:J22)</f>
        <v>0</v>
      </c>
    </row>
    <row r="24" spans="2:10" ht="14.65" customHeight="1" x14ac:dyDescent="0.25">
      <c r="C24" s="198"/>
      <c r="D24"/>
      <c r="E24"/>
      <c r="F24"/>
      <c r="G24"/>
      <c r="I24"/>
      <c r="J24"/>
    </row>
    <row r="25" spans="2:10" ht="14.65" customHeight="1" thickBot="1" x14ac:dyDescent="0.3">
      <c r="C25" s="12"/>
      <c r="D25"/>
      <c r="E25"/>
      <c r="F25"/>
      <c r="G25"/>
      <c r="I25"/>
    </row>
    <row r="26" spans="2:10" ht="14.65" customHeight="1" x14ac:dyDescent="0.25">
      <c r="B26" s="591" t="s">
        <v>9</v>
      </c>
      <c r="C26" s="591" t="s">
        <v>10</v>
      </c>
      <c r="D26" s="645" t="s">
        <v>89</v>
      </c>
      <c r="E26" s="647" t="s">
        <v>159</v>
      </c>
      <c r="F26" s="649" t="s">
        <v>103</v>
      </c>
      <c r="G26" s="647" t="s">
        <v>142</v>
      </c>
      <c r="H26" s="649" t="s">
        <v>103</v>
      </c>
      <c r="I26" s="647" t="s">
        <v>142</v>
      </c>
      <c r="J26" s="643" t="s">
        <v>143</v>
      </c>
    </row>
    <row r="27" spans="2:10" ht="14.65" customHeight="1" x14ac:dyDescent="0.25">
      <c r="B27" s="592"/>
      <c r="C27" s="592"/>
      <c r="D27" s="646"/>
      <c r="E27" s="648"/>
      <c r="F27" s="650"/>
      <c r="G27" s="648"/>
      <c r="H27" s="650"/>
      <c r="I27" s="648"/>
      <c r="J27" s="644"/>
    </row>
    <row r="28" spans="2:10" ht="14.65" customHeight="1" x14ac:dyDescent="0.25">
      <c r="B28" s="592"/>
      <c r="C28" s="592"/>
      <c r="D28" s="646"/>
      <c r="E28" s="648"/>
      <c r="F28" s="650"/>
      <c r="G28" s="648"/>
      <c r="H28" s="650"/>
      <c r="I28" s="648"/>
      <c r="J28" s="644"/>
    </row>
    <row r="29" spans="2:10" ht="14.65" customHeight="1" thickBot="1" x14ac:dyDescent="0.3">
      <c r="B29" s="592"/>
      <c r="C29" s="592"/>
      <c r="D29" s="209" t="s">
        <v>144</v>
      </c>
      <c r="E29" s="210" t="s">
        <v>145</v>
      </c>
      <c r="F29" s="211" t="s">
        <v>107</v>
      </c>
      <c r="G29" s="210" t="s">
        <v>146</v>
      </c>
      <c r="H29" s="209" t="s">
        <v>147</v>
      </c>
      <c r="I29" s="212" t="s">
        <v>148</v>
      </c>
      <c r="J29" s="206" t="s">
        <v>149</v>
      </c>
    </row>
    <row r="30" spans="2:10" ht="14.65" customHeight="1" x14ac:dyDescent="0.25">
      <c r="B30" s="128">
        <f>ÜLDANDMED!D11</f>
        <v>2023</v>
      </c>
      <c r="C30" s="153" t="s">
        <v>150</v>
      </c>
      <c r="D30" s="182"/>
      <c r="E30" s="199"/>
      <c r="F30" s="235"/>
      <c r="G30" s="236"/>
      <c r="H30" s="200"/>
      <c r="I30" s="199"/>
      <c r="J30" s="234"/>
    </row>
    <row r="31" spans="2:10" ht="14.65" customHeight="1" x14ac:dyDescent="0.25">
      <c r="B31" s="87"/>
      <c r="C31" s="71" t="s">
        <v>151</v>
      </c>
      <c r="D31" s="437"/>
      <c r="E31" s="429">
        <f>D31*kütus_bensiin_kaubik_2023/1000</f>
        <v>0</v>
      </c>
      <c r="F31" s="440"/>
      <c r="G31" s="431">
        <f>F31*transport_kaubik_bensiin_km_2023/1000</f>
        <v>0</v>
      </c>
      <c r="H31" s="443"/>
      <c r="I31" s="429">
        <f>H31*transport_kaubik_bensiin_tonnkm_2023/1000</f>
        <v>0</v>
      </c>
      <c r="J31" s="433">
        <f>SUM(E31+G31+I31)</f>
        <v>0</v>
      </c>
    </row>
    <row r="32" spans="2:10" ht="14.65" customHeight="1" x14ac:dyDescent="0.25">
      <c r="B32" s="82"/>
      <c r="C32" s="71" t="s">
        <v>152</v>
      </c>
      <c r="D32" s="437"/>
      <c r="E32" s="429">
        <f>D32*kütus_diisel_kaubik_2023/1000</f>
        <v>0</v>
      </c>
      <c r="F32" s="440"/>
      <c r="G32" s="431">
        <f>F32*transport_kaubik_diisel_km_2023/1000</f>
        <v>0</v>
      </c>
      <c r="H32" s="443"/>
      <c r="I32" s="429">
        <f>H32*transport_kaubik_diisel_tonnkm_2023/1000</f>
        <v>0</v>
      </c>
      <c r="J32" s="433">
        <f t="shared" ref="J32:J34" si="1">SUM(E32+G32+I32)</f>
        <v>0</v>
      </c>
    </row>
    <row r="33" spans="2:10" ht="14.65" customHeight="1" x14ac:dyDescent="0.25">
      <c r="B33" s="82"/>
      <c r="C33" s="84" t="s">
        <v>153</v>
      </c>
      <c r="D33" s="437"/>
      <c r="E33" s="429">
        <f>D33*kütus_taastuvelekter/1000</f>
        <v>0</v>
      </c>
      <c r="F33" s="440"/>
      <c r="G33" s="431">
        <f>F33*kütus_taastuvelekter/1000</f>
        <v>0</v>
      </c>
      <c r="H33" s="443"/>
      <c r="I33" s="429">
        <f>H33*kütus_taastuvelekter/1000</f>
        <v>0</v>
      </c>
      <c r="J33" s="433">
        <f t="shared" si="1"/>
        <v>0</v>
      </c>
    </row>
    <row r="34" spans="2:10" ht="14.65" customHeight="1" x14ac:dyDescent="0.25">
      <c r="B34" s="82"/>
      <c r="C34" s="84" t="s">
        <v>154</v>
      </c>
      <c r="D34" s="437"/>
      <c r="E34" s="429">
        <f>D34*segajääk_2023/1000</f>
        <v>0</v>
      </c>
      <c r="F34" s="440"/>
      <c r="G34" s="431">
        <f>F34*transport_kaubik_tavaelekter_km_2023/1000</f>
        <v>0</v>
      </c>
      <c r="H34" s="443"/>
      <c r="I34" s="429">
        <f>H34*transport_kaubik_tavaelekter_tonnkm_2023/1000</f>
        <v>0</v>
      </c>
      <c r="J34" s="433">
        <f t="shared" si="1"/>
        <v>0</v>
      </c>
    </row>
    <row r="35" spans="2:10" ht="14.65" customHeight="1" x14ac:dyDescent="0.25">
      <c r="B35" s="82"/>
      <c r="C35" s="189" t="s">
        <v>155</v>
      </c>
      <c r="D35" s="195"/>
      <c r="E35" s="196"/>
      <c r="F35" s="195"/>
      <c r="G35" s="197"/>
      <c r="H35" s="201"/>
      <c r="I35" s="202"/>
      <c r="J35" s="228"/>
    </row>
    <row r="36" spans="2:10" ht="14.65" customHeight="1" x14ac:dyDescent="0.25">
      <c r="B36" s="82"/>
      <c r="C36" s="71" t="s">
        <v>156</v>
      </c>
      <c r="D36" s="438"/>
      <c r="E36" s="429">
        <f>D36*kütus_diisel_buss_2023/1000</f>
        <v>0</v>
      </c>
      <c r="F36" s="441"/>
      <c r="G36" s="431">
        <f>F36*transport_buss_2023/1000</f>
        <v>0</v>
      </c>
      <c r="H36" s="230"/>
      <c r="I36" s="237"/>
      <c r="J36" s="434">
        <f>SUM(E36+G36)</f>
        <v>0</v>
      </c>
    </row>
    <row r="37" spans="2:10" ht="14.65" customHeight="1" thickBot="1" x14ac:dyDescent="0.3">
      <c r="B37" s="82"/>
      <c r="C37" s="207" t="s">
        <v>157</v>
      </c>
      <c r="D37" s="439"/>
      <c r="E37" s="430">
        <f>D37*kütus_diisel_kaubik_2023/1000</f>
        <v>0</v>
      </c>
      <c r="F37" s="442"/>
      <c r="G37" s="432">
        <f>IFERROR(F37*transport_väikebuss_2023/1000,0)</f>
        <v>0</v>
      </c>
      <c r="H37" s="231"/>
      <c r="I37" s="238"/>
      <c r="J37" s="435">
        <f>SUM(E37+G37)</f>
        <v>0</v>
      </c>
    </row>
    <row r="38" spans="2:10" ht="14.65" customHeight="1" thickBot="1" x14ac:dyDescent="0.3">
      <c r="B38" s="131"/>
      <c r="C38" s="225" t="s">
        <v>158</v>
      </c>
      <c r="D38" s="226"/>
      <c r="E38" s="227"/>
      <c r="F38" s="227"/>
      <c r="G38" s="227"/>
      <c r="H38" s="227"/>
      <c r="I38" s="221"/>
      <c r="J38" s="436">
        <f>SUM(J31:J34,J36:J37)</f>
        <v>0</v>
      </c>
    </row>
    <row r="39" spans="2:10" ht="14.65" customHeight="1" x14ac:dyDescent="0.25">
      <c r="C39" s="198"/>
      <c r="D39"/>
      <c r="E39"/>
      <c r="F39"/>
      <c r="G39"/>
      <c r="I39"/>
      <c r="J39"/>
    </row>
    <row r="40" spans="2:10" ht="14.65" customHeight="1" thickBot="1" x14ac:dyDescent="0.3">
      <c r="C40"/>
      <c r="D40"/>
      <c r="E40"/>
      <c r="F40"/>
      <c r="G40"/>
      <c r="I40"/>
    </row>
    <row r="41" spans="2:10" ht="14.65" customHeight="1" x14ac:dyDescent="0.25">
      <c r="B41" s="591" t="s">
        <v>9</v>
      </c>
      <c r="C41" s="591" t="s">
        <v>10</v>
      </c>
      <c r="D41" s="645" t="s">
        <v>89</v>
      </c>
      <c r="E41" s="647" t="s">
        <v>141</v>
      </c>
      <c r="F41" s="649" t="s">
        <v>103</v>
      </c>
      <c r="G41" s="647" t="s">
        <v>142</v>
      </c>
      <c r="H41" s="649" t="s">
        <v>103</v>
      </c>
      <c r="I41" s="647" t="s">
        <v>142</v>
      </c>
      <c r="J41" s="643" t="s">
        <v>143</v>
      </c>
    </row>
    <row r="42" spans="2:10" ht="14.65" customHeight="1" x14ac:dyDescent="0.25">
      <c r="B42" s="592"/>
      <c r="C42" s="592"/>
      <c r="D42" s="646"/>
      <c r="E42" s="648"/>
      <c r="F42" s="650"/>
      <c r="G42" s="648"/>
      <c r="H42" s="650"/>
      <c r="I42" s="648"/>
      <c r="J42" s="644"/>
    </row>
    <row r="43" spans="2:10" ht="14.65" customHeight="1" x14ac:dyDescent="0.25">
      <c r="B43" s="592"/>
      <c r="C43" s="592"/>
      <c r="D43" s="646"/>
      <c r="E43" s="648"/>
      <c r="F43" s="650"/>
      <c r="G43" s="648"/>
      <c r="H43" s="650"/>
      <c r="I43" s="648"/>
      <c r="J43" s="644"/>
    </row>
    <row r="44" spans="2:10" ht="14.65" customHeight="1" thickBot="1" x14ac:dyDescent="0.3">
      <c r="B44" s="592"/>
      <c r="C44" s="592"/>
      <c r="D44" s="209" t="s">
        <v>144</v>
      </c>
      <c r="E44" s="210" t="s">
        <v>145</v>
      </c>
      <c r="F44" s="211" t="s">
        <v>107</v>
      </c>
      <c r="G44" s="210" t="s">
        <v>146</v>
      </c>
      <c r="H44" s="209" t="s">
        <v>147</v>
      </c>
      <c r="I44" s="212" t="s">
        <v>148</v>
      </c>
      <c r="J44" s="206" t="s">
        <v>149</v>
      </c>
    </row>
    <row r="45" spans="2:10" ht="14.65" customHeight="1" x14ac:dyDescent="0.25">
      <c r="B45" s="184">
        <f>ÜLDANDMED!E11</f>
        <v>2024</v>
      </c>
      <c r="C45" s="153" t="s">
        <v>150</v>
      </c>
      <c r="D45" s="187"/>
      <c r="E45" s="239"/>
      <c r="F45" s="185"/>
      <c r="G45" s="188"/>
      <c r="H45" s="240"/>
      <c r="I45" s="239"/>
      <c r="J45" s="234"/>
    </row>
    <row r="46" spans="2:10" ht="14.65" customHeight="1" x14ac:dyDescent="0.25">
      <c r="B46" s="85"/>
      <c r="C46" s="71" t="s">
        <v>151</v>
      </c>
      <c r="D46" s="437"/>
      <c r="E46" s="429">
        <f>D46*kütus_bensiin_kaubik_2024/1000</f>
        <v>0</v>
      </c>
      <c r="F46" s="440"/>
      <c r="G46" s="431">
        <f>F46*transport_kaubik_bensiin_km_2024/1000</f>
        <v>0</v>
      </c>
      <c r="H46" s="443"/>
      <c r="I46" s="429">
        <f>H46*transport_kaubik_bensiin_tonnkm_2024/1000</f>
        <v>0</v>
      </c>
      <c r="J46" s="433">
        <f>SUM(E46+G46+I46)</f>
        <v>0</v>
      </c>
    </row>
    <row r="47" spans="2:10" ht="14.65" customHeight="1" x14ac:dyDescent="0.25">
      <c r="B47" s="85"/>
      <c r="C47" s="71" t="s">
        <v>152</v>
      </c>
      <c r="D47" s="437"/>
      <c r="E47" s="429">
        <f>D47*kütus_diisel_kaubik_2024/1000</f>
        <v>0</v>
      </c>
      <c r="F47" s="440"/>
      <c r="G47" s="431">
        <f>F47*transport_kaubik_diisel_km_2024/1000</f>
        <v>0</v>
      </c>
      <c r="H47" s="443"/>
      <c r="I47" s="429">
        <f>H47*transport_kaubik_diisel_tonnkm_2024/1000</f>
        <v>0</v>
      </c>
      <c r="J47" s="433">
        <f t="shared" ref="J47:J49" si="2">SUM(E47+G47+I47)</f>
        <v>0</v>
      </c>
    </row>
    <row r="48" spans="2:10" ht="14.65" customHeight="1" x14ac:dyDescent="0.25">
      <c r="B48" s="85"/>
      <c r="C48" s="84" t="s">
        <v>153</v>
      </c>
      <c r="D48" s="437"/>
      <c r="E48" s="429">
        <f>D48*kütus_taastuvelekter/1000</f>
        <v>0</v>
      </c>
      <c r="F48" s="440"/>
      <c r="G48" s="431">
        <f>F48*kütus_taastuvelekter/1000</f>
        <v>0</v>
      </c>
      <c r="H48" s="443"/>
      <c r="I48" s="429">
        <f>H48*kütus_taastuvelekter/1000</f>
        <v>0</v>
      </c>
      <c r="J48" s="433">
        <f t="shared" si="2"/>
        <v>0</v>
      </c>
    </row>
    <row r="49" spans="2:10" ht="14.65" customHeight="1" x14ac:dyDescent="0.25">
      <c r="B49" s="85"/>
      <c r="C49" s="84" t="s">
        <v>154</v>
      </c>
      <c r="D49" s="437"/>
      <c r="E49" s="429">
        <f>D49*segajääk_2024/1000</f>
        <v>0</v>
      </c>
      <c r="F49" s="440"/>
      <c r="G49" s="431">
        <f>F49*transport_kaubik_tavaelekter_km_2024/1000</f>
        <v>0</v>
      </c>
      <c r="H49" s="443"/>
      <c r="I49" s="429">
        <f>H49*transport_kaubik_tavaelekter_tonnkm_2024/1000</f>
        <v>0</v>
      </c>
      <c r="J49" s="433">
        <f t="shared" si="2"/>
        <v>0</v>
      </c>
    </row>
    <row r="50" spans="2:10" ht="14.65" customHeight="1" x14ac:dyDescent="0.25">
      <c r="B50" s="85"/>
      <c r="C50" s="189" t="s">
        <v>155</v>
      </c>
      <c r="D50" s="195"/>
      <c r="E50" s="196"/>
      <c r="F50" s="195"/>
      <c r="G50" s="197"/>
      <c r="H50" s="203"/>
      <c r="I50" s="204"/>
      <c r="J50" s="228"/>
    </row>
    <row r="51" spans="2:10" ht="14.65" customHeight="1" x14ac:dyDescent="0.25">
      <c r="B51" s="85"/>
      <c r="C51" s="71" t="s">
        <v>156</v>
      </c>
      <c r="D51" s="438"/>
      <c r="E51" s="429">
        <f>D51*kütus_diisel_buss_2024/1000</f>
        <v>0</v>
      </c>
      <c r="F51" s="441"/>
      <c r="G51" s="431">
        <f>F51*transport_buss_2024/1000</f>
        <v>0</v>
      </c>
      <c r="H51" s="230"/>
      <c r="I51" s="237"/>
      <c r="J51" s="434">
        <f>SUM(E51+G51)</f>
        <v>0</v>
      </c>
    </row>
    <row r="52" spans="2:10" ht="14.65" customHeight="1" thickBot="1" x14ac:dyDescent="0.3">
      <c r="B52" s="87"/>
      <c r="C52" s="207" t="s">
        <v>157</v>
      </c>
      <c r="D52" s="439"/>
      <c r="E52" s="430">
        <f>D52*kütus_diisel_kaubik_2024/1000</f>
        <v>0</v>
      </c>
      <c r="F52" s="442"/>
      <c r="G52" s="432">
        <f>IFERROR(F52*transport_väikebuss_2024/1000,0)</f>
        <v>0</v>
      </c>
      <c r="H52" s="231"/>
      <c r="I52" s="238"/>
      <c r="J52" s="435">
        <f>SUM(E52+G52)</f>
        <v>0</v>
      </c>
    </row>
    <row r="53" spans="2:10" ht="14.65" customHeight="1" thickBot="1" x14ac:dyDescent="0.3">
      <c r="B53" s="131"/>
      <c r="C53" s="225" t="s">
        <v>158</v>
      </c>
      <c r="D53" s="226"/>
      <c r="E53" s="227"/>
      <c r="F53" s="227"/>
      <c r="G53" s="227"/>
      <c r="H53" s="227"/>
      <c r="I53" s="221"/>
      <c r="J53" s="436">
        <f>SUM(J46:J49,J51:J52)</f>
        <v>0</v>
      </c>
    </row>
    <row r="54" spans="2:10" ht="14.65" customHeight="1" x14ac:dyDescent="0.25">
      <c r="C54" s="198"/>
      <c r="D54"/>
      <c r="E54"/>
      <c r="F54"/>
      <c r="G54"/>
      <c r="I54"/>
      <c r="J54"/>
    </row>
    <row r="55" spans="2:10" ht="14.65" customHeight="1" thickBot="1" x14ac:dyDescent="0.3">
      <c r="C55"/>
      <c r="D55"/>
      <c r="E55"/>
      <c r="F55"/>
      <c r="G55"/>
      <c r="I55"/>
    </row>
    <row r="56" spans="2:10" ht="14.65" customHeight="1" x14ac:dyDescent="0.25">
      <c r="B56" s="591" t="s">
        <v>9</v>
      </c>
      <c r="C56" s="591" t="s">
        <v>10</v>
      </c>
      <c r="D56" s="645" t="s">
        <v>89</v>
      </c>
      <c r="E56" s="647" t="s">
        <v>141</v>
      </c>
      <c r="F56" s="649" t="s">
        <v>103</v>
      </c>
      <c r="G56" s="647" t="s">
        <v>142</v>
      </c>
      <c r="H56" s="649" t="s">
        <v>103</v>
      </c>
      <c r="I56" s="647" t="s">
        <v>142</v>
      </c>
      <c r="J56" s="643" t="s">
        <v>143</v>
      </c>
    </row>
    <row r="57" spans="2:10" ht="14.65" customHeight="1" x14ac:dyDescent="0.25">
      <c r="B57" s="592"/>
      <c r="C57" s="592"/>
      <c r="D57" s="646"/>
      <c r="E57" s="648"/>
      <c r="F57" s="650"/>
      <c r="G57" s="648"/>
      <c r="H57" s="650"/>
      <c r="I57" s="648"/>
      <c r="J57" s="644"/>
    </row>
    <row r="58" spans="2:10" ht="14.65" customHeight="1" x14ac:dyDescent="0.25">
      <c r="B58" s="592"/>
      <c r="C58" s="592"/>
      <c r="D58" s="646"/>
      <c r="E58" s="648"/>
      <c r="F58" s="650"/>
      <c r="G58" s="648"/>
      <c r="H58" s="650"/>
      <c r="I58" s="648"/>
      <c r="J58" s="644"/>
    </row>
    <row r="59" spans="2:10" ht="14.65" customHeight="1" thickBot="1" x14ac:dyDescent="0.3">
      <c r="B59" s="592"/>
      <c r="C59" s="592"/>
      <c r="D59" s="209" t="s">
        <v>144</v>
      </c>
      <c r="E59" s="210" t="s">
        <v>145</v>
      </c>
      <c r="F59" s="211" t="s">
        <v>107</v>
      </c>
      <c r="G59" s="210" t="s">
        <v>146</v>
      </c>
      <c r="H59" s="209" t="s">
        <v>147</v>
      </c>
      <c r="I59" s="212" t="s">
        <v>148</v>
      </c>
      <c r="J59" s="206" t="s">
        <v>149</v>
      </c>
    </row>
    <row r="60" spans="2:10" ht="14.65" customHeight="1" x14ac:dyDescent="0.25">
      <c r="B60" s="128">
        <f>ÜLDANDMED!F11</f>
        <v>2025</v>
      </c>
      <c r="C60" s="153" t="s">
        <v>150</v>
      </c>
      <c r="D60" s="187"/>
      <c r="E60" s="239"/>
      <c r="F60" s="185"/>
      <c r="G60" s="188"/>
      <c r="H60" s="240"/>
      <c r="I60" s="239"/>
      <c r="J60" s="234"/>
    </row>
    <row r="61" spans="2:10" ht="14.65" customHeight="1" x14ac:dyDescent="0.25">
      <c r="B61" s="77"/>
      <c r="C61" s="71" t="s">
        <v>151</v>
      </c>
      <c r="D61" s="437"/>
      <c r="E61" s="429">
        <f>D61*kütus_bensiin_kaubik_2025/1000</f>
        <v>0</v>
      </c>
      <c r="F61" s="440"/>
      <c r="G61" s="431">
        <f>F61*transport_kaubik_bensiin_km_2025/1000</f>
        <v>0</v>
      </c>
      <c r="H61" s="443"/>
      <c r="I61" s="429">
        <f>H61*transport_kaubik_bensiin_tonnkm_2025/1000</f>
        <v>0</v>
      </c>
      <c r="J61" s="433">
        <f>SUM(E61+G61+I61)</f>
        <v>0</v>
      </c>
    </row>
    <row r="62" spans="2:10" ht="14.65" customHeight="1" x14ac:dyDescent="0.25">
      <c r="B62" s="77"/>
      <c r="C62" s="71" t="s">
        <v>152</v>
      </c>
      <c r="D62" s="437"/>
      <c r="E62" s="429">
        <f>D62*kütus_diisel_kaubik_2025/1000</f>
        <v>0</v>
      </c>
      <c r="F62" s="440"/>
      <c r="G62" s="431">
        <f>F62*transport_kaubik_diisel_km_2025/1000</f>
        <v>0</v>
      </c>
      <c r="H62" s="443"/>
      <c r="I62" s="429">
        <f>H62*transport_kaubik_diisel_tonnkm_2025/1000</f>
        <v>0</v>
      </c>
      <c r="J62" s="433">
        <f t="shared" ref="J62:J64" si="3">SUM(E62+G62+I62)</f>
        <v>0</v>
      </c>
    </row>
    <row r="63" spans="2:10" ht="14.65" customHeight="1" x14ac:dyDescent="0.25">
      <c r="B63" s="77"/>
      <c r="C63" s="84" t="s">
        <v>153</v>
      </c>
      <c r="D63" s="437"/>
      <c r="E63" s="429">
        <f>D63*kütus_taastuvelekter/1000</f>
        <v>0</v>
      </c>
      <c r="F63" s="440"/>
      <c r="G63" s="431">
        <f>F63*kütus_taastuvelekter/1000</f>
        <v>0</v>
      </c>
      <c r="H63" s="443"/>
      <c r="I63" s="429">
        <f>H63*kütus_taastuvelekter/1000</f>
        <v>0</v>
      </c>
      <c r="J63" s="433">
        <f t="shared" si="3"/>
        <v>0</v>
      </c>
    </row>
    <row r="64" spans="2:10" ht="14.65" customHeight="1" x14ac:dyDescent="0.25">
      <c r="B64" s="77"/>
      <c r="C64" s="84" t="s">
        <v>154</v>
      </c>
      <c r="D64" s="437"/>
      <c r="E64" s="429">
        <f>D64*segajääk_2025/1000</f>
        <v>0</v>
      </c>
      <c r="F64" s="440"/>
      <c r="G64" s="431">
        <f>F64*transport_kaubik_tavaelekter_km_2025/1000</f>
        <v>0</v>
      </c>
      <c r="H64" s="443"/>
      <c r="I64" s="429">
        <f>H64*transport_kaubik_tavaelekter_tonnkm_2025/1000</f>
        <v>0</v>
      </c>
      <c r="J64" s="433">
        <f t="shared" si="3"/>
        <v>0</v>
      </c>
    </row>
    <row r="65" spans="2:10" ht="14.65" customHeight="1" x14ac:dyDescent="0.25">
      <c r="B65" s="77"/>
      <c r="C65" s="189" t="s">
        <v>155</v>
      </c>
      <c r="D65" s="195"/>
      <c r="E65" s="196"/>
      <c r="F65" s="195"/>
      <c r="G65" s="197"/>
      <c r="H65" s="203"/>
      <c r="I65" s="204"/>
      <c r="J65" s="228"/>
    </row>
    <row r="66" spans="2:10" ht="14.65" customHeight="1" x14ac:dyDescent="0.25">
      <c r="B66" s="77"/>
      <c r="C66" s="71" t="s">
        <v>156</v>
      </c>
      <c r="D66" s="438"/>
      <c r="E66" s="429">
        <f>D66*kütus_diisel_buss_2025/1000</f>
        <v>0</v>
      </c>
      <c r="F66" s="441"/>
      <c r="G66" s="431">
        <f>F66*transport_buss_2025/1000</f>
        <v>0</v>
      </c>
      <c r="H66" s="230"/>
      <c r="I66" s="237"/>
      <c r="J66" s="434">
        <f>SUM(E66+G66)</f>
        <v>0</v>
      </c>
    </row>
    <row r="67" spans="2:10" ht="14.65" customHeight="1" thickBot="1" x14ac:dyDescent="0.3">
      <c r="B67" s="87"/>
      <c r="C67" s="207" t="s">
        <v>157</v>
      </c>
      <c r="D67" s="439"/>
      <c r="E67" s="430">
        <f>D67*kütus_diisel_kaubik_2025/1000</f>
        <v>0</v>
      </c>
      <c r="F67" s="442"/>
      <c r="G67" s="432">
        <f>IFERROR(F67*transport_väikebuss_2025/1000,0)</f>
        <v>0</v>
      </c>
      <c r="H67" s="231"/>
      <c r="I67" s="238"/>
      <c r="J67" s="435">
        <f>SUM(E67+G67)</f>
        <v>0</v>
      </c>
    </row>
    <row r="68" spans="2:10" ht="14.65" customHeight="1" thickBot="1" x14ac:dyDescent="0.3">
      <c r="B68" s="131"/>
      <c r="C68" s="225" t="s">
        <v>158</v>
      </c>
      <c r="D68" s="226"/>
      <c r="E68" s="227"/>
      <c r="F68" s="227"/>
      <c r="G68" s="227"/>
      <c r="H68" s="227"/>
      <c r="I68" s="221"/>
      <c r="J68" s="436">
        <f>SUM(J61:J64,J66:J67)</f>
        <v>0</v>
      </c>
    </row>
    <row r="69" spans="2:10" ht="14.65" customHeight="1" x14ac:dyDescent="0.25">
      <c r="C69" s="198"/>
      <c r="D69"/>
      <c r="E69"/>
      <c r="F69"/>
      <c r="G69"/>
      <c r="I69"/>
      <c r="J69"/>
    </row>
    <row r="70" spans="2:10" ht="14.65" customHeight="1" thickBot="1" x14ac:dyDescent="0.3">
      <c r="C70"/>
      <c r="D70"/>
      <c r="E70"/>
      <c r="F70"/>
      <c r="G70"/>
      <c r="I70"/>
    </row>
    <row r="71" spans="2:10" ht="14.65" customHeight="1" x14ac:dyDescent="0.25">
      <c r="B71" s="591" t="s">
        <v>9</v>
      </c>
      <c r="C71" s="591" t="s">
        <v>10</v>
      </c>
      <c r="D71" s="645" t="s">
        <v>89</v>
      </c>
      <c r="E71" s="647" t="s">
        <v>141</v>
      </c>
      <c r="F71" s="649" t="s">
        <v>103</v>
      </c>
      <c r="G71" s="647" t="s">
        <v>142</v>
      </c>
      <c r="H71" s="649" t="s">
        <v>103</v>
      </c>
      <c r="I71" s="647" t="s">
        <v>142</v>
      </c>
      <c r="J71" s="643" t="s">
        <v>143</v>
      </c>
    </row>
    <row r="72" spans="2:10" ht="14.65" customHeight="1" x14ac:dyDescent="0.25">
      <c r="B72" s="592"/>
      <c r="C72" s="592"/>
      <c r="D72" s="646"/>
      <c r="E72" s="648"/>
      <c r="F72" s="650"/>
      <c r="G72" s="648"/>
      <c r="H72" s="650"/>
      <c r="I72" s="648"/>
      <c r="J72" s="644"/>
    </row>
    <row r="73" spans="2:10" ht="14.65" customHeight="1" x14ac:dyDescent="0.25">
      <c r="B73" s="592"/>
      <c r="C73" s="592"/>
      <c r="D73" s="646"/>
      <c r="E73" s="648"/>
      <c r="F73" s="650"/>
      <c r="G73" s="648"/>
      <c r="H73" s="650"/>
      <c r="I73" s="648"/>
      <c r="J73" s="644"/>
    </row>
    <row r="74" spans="2:10" ht="14.65" customHeight="1" thickBot="1" x14ac:dyDescent="0.3">
      <c r="B74" s="592"/>
      <c r="C74" s="592"/>
      <c r="D74" s="209" t="s">
        <v>144</v>
      </c>
      <c r="E74" s="210" t="s">
        <v>145</v>
      </c>
      <c r="F74" s="211" t="s">
        <v>107</v>
      </c>
      <c r="G74" s="210" t="s">
        <v>146</v>
      </c>
      <c r="H74" s="209" t="s">
        <v>147</v>
      </c>
      <c r="I74" s="212" t="s">
        <v>148</v>
      </c>
      <c r="J74" s="206" t="s">
        <v>149</v>
      </c>
    </row>
    <row r="75" spans="2:10" ht="14.65" customHeight="1" x14ac:dyDescent="0.25">
      <c r="B75" s="184">
        <f>ÜLDANDMED!G11</f>
        <v>2026</v>
      </c>
      <c r="C75" s="153" t="s">
        <v>150</v>
      </c>
      <c r="D75" s="187"/>
      <c r="E75" s="239"/>
      <c r="F75" s="185"/>
      <c r="G75" s="188"/>
      <c r="H75" s="240"/>
      <c r="I75" s="239"/>
      <c r="J75" s="234"/>
    </row>
    <row r="76" spans="2:10" ht="14.65" customHeight="1" x14ac:dyDescent="0.25">
      <c r="B76" s="85"/>
      <c r="C76" s="71" t="s">
        <v>151</v>
      </c>
      <c r="D76" s="437"/>
      <c r="E76" s="429">
        <f>D76*kütus_bensiin_kaubik_2026/1000</f>
        <v>0</v>
      </c>
      <c r="F76" s="440"/>
      <c r="G76" s="431">
        <f>F76*transport_kaubik_bensiin_km_2026/1000</f>
        <v>0</v>
      </c>
      <c r="H76" s="443"/>
      <c r="I76" s="429">
        <f>H76*transport_kaubik_bensiin_tonnkm_2026/1000</f>
        <v>0</v>
      </c>
      <c r="J76" s="433">
        <f>SUM(E76+G76+I76)</f>
        <v>0</v>
      </c>
    </row>
    <row r="77" spans="2:10" ht="14.65" customHeight="1" x14ac:dyDescent="0.25">
      <c r="B77" s="85"/>
      <c r="C77" s="71" t="s">
        <v>152</v>
      </c>
      <c r="D77" s="437"/>
      <c r="E77" s="429">
        <f>D77*kütus_diisel_kaubik_2026/1000</f>
        <v>0</v>
      </c>
      <c r="F77" s="440"/>
      <c r="G77" s="431">
        <f>F77*transport_kaubik_diisel_km_2026/1000</f>
        <v>0</v>
      </c>
      <c r="H77" s="443"/>
      <c r="I77" s="429">
        <f>H77*transport_kaubik_diisel_tonnkm_2026/1000</f>
        <v>0</v>
      </c>
      <c r="J77" s="433">
        <f t="shared" ref="J77:J79" si="4">SUM(E77+G77+I77)</f>
        <v>0</v>
      </c>
    </row>
    <row r="78" spans="2:10" ht="14.65" customHeight="1" x14ac:dyDescent="0.25">
      <c r="B78" s="85"/>
      <c r="C78" s="84" t="s">
        <v>153</v>
      </c>
      <c r="D78" s="437"/>
      <c r="E78" s="429">
        <f>D78*kütus_taastuvelekter/1000</f>
        <v>0</v>
      </c>
      <c r="F78" s="440"/>
      <c r="G78" s="431">
        <f>F78*kütus_taastuvelekter/1000</f>
        <v>0</v>
      </c>
      <c r="H78" s="443"/>
      <c r="I78" s="429">
        <f>H78*kütus_taastuvelekter/1000</f>
        <v>0</v>
      </c>
      <c r="J78" s="433">
        <f t="shared" si="4"/>
        <v>0</v>
      </c>
    </row>
    <row r="79" spans="2:10" ht="14.65" customHeight="1" x14ac:dyDescent="0.25">
      <c r="B79" s="85"/>
      <c r="C79" s="84" t="s">
        <v>154</v>
      </c>
      <c r="D79" s="437"/>
      <c r="E79" s="429">
        <f>D79*segajääk_2026/1000</f>
        <v>0</v>
      </c>
      <c r="F79" s="440"/>
      <c r="G79" s="431">
        <f>F79*transport_kaubik_tavaelekter_km_2026/1000</f>
        <v>0</v>
      </c>
      <c r="H79" s="443"/>
      <c r="I79" s="429">
        <f>H79*transport_kaubik_tavaelekter_tonnkm_2026/1000</f>
        <v>0</v>
      </c>
      <c r="J79" s="433">
        <f t="shared" si="4"/>
        <v>0</v>
      </c>
    </row>
    <row r="80" spans="2:10" ht="14.65" customHeight="1" x14ac:dyDescent="0.25">
      <c r="B80" s="85"/>
      <c r="C80" s="189" t="s">
        <v>155</v>
      </c>
      <c r="D80" s="195"/>
      <c r="E80" s="196"/>
      <c r="F80" s="195"/>
      <c r="G80" s="197"/>
      <c r="H80" s="203"/>
      <c r="I80" s="204"/>
      <c r="J80" s="228"/>
    </row>
    <row r="81" spans="2:10" ht="14.65" customHeight="1" x14ac:dyDescent="0.25">
      <c r="B81" s="85"/>
      <c r="C81" s="71" t="s">
        <v>156</v>
      </c>
      <c r="D81" s="438"/>
      <c r="E81" s="429">
        <f>D81*kütus_diisel_buss_2026/1000</f>
        <v>0</v>
      </c>
      <c r="F81" s="441"/>
      <c r="G81" s="431">
        <f>F81*transport_buss_2026/1000</f>
        <v>0</v>
      </c>
      <c r="H81" s="230"/>
      <c r="I81" s="237"/>
      <c r="J81" s="434">
        <f>SUM(E81+G81)</f>
        <v>0</v>
      </c>
    </row>
    <row r="82" spans="2:10" ht="14.65" customHeight="1" thickBot="1" x14ac:dyDescent="0.3">
      <c r="B82" s="87"/>
      <c r="C82" s="207" t="s">
        <v>157</v>
      </c>
      <c r="D82" s="439"/>
      <c r="E82" s="430">
        <f>D82*kütus_diisel_kaubik_2026/1000</f>
        <v>0</v>
      </c>
      <c r="F82" s="442"/>
      <c r="G82" s="432">
        <f>IFERROR(F82*transport_väikebuss_2026/1000,0)</f>
        <v>0</v>
      </c>
      <c r="H82" s="231"/>
      <c r="I82" s="238"/>
      <c r="J82" s="435">
        <f>SUM(E82+G82)</f>
        <v>0</v>
      </c>
    </row>
    <row r="83" spans="2:10" ht="14.65" customHeight="1" thickBot="1" x14ac:dyDescent="0.3">
      <c r="B83" s="131"/>
      <c r="C83" s="225" t="s">
        <v>158</v>
      </c>
      <c r="D83" s="226"/>
      <c r="E83" s="227"/>
      <c r="F83" s="227"/>
      <c r="G83" s="227"/>
      <c r="H83" s="227"/>
      <c r="I83" s="221"/>
      <c r="J83" s="436">
        <f>SUM(J76:J79,J81:J82)</f>
        <v>0</v>
      </c>
    </row>
    <row r="84" spans="2:10" ht="14.65" customHeight="1" x14ac:dyDescent="0.25">
      <c r="C84"/>
      <c r="D84"/>
      <c r="E84"/>
      <c r="F84"/>
      <c r="G84"/>
      <c r="I84"/>
    </row>
    <row r="85" spans="2:10" ht="14.65" customHeight="1" thickBot="1" x14ac:dyDescent="0.3">
      <c r="C85"/>
      <c r="D85"/>
      <c r="E85"/>
      <c r="F85"/>
      <c r="G85"/>
      <c r="I85"/>
    </row>
    <row r="86" spans="2:10" ht="14.65" customHeight="1" x14ac:dyDescent="0.25">
      <c r="B86" s="591" t="s">
        <v>9</v>
      </c>
      <c r="C86" s="591" t="s">
        <v>10</v>
      </c>
      <c r="D86" s="645" t="s">
        <v>89</v>
      </c>
      <c r="E86" s="647" t="s">
        <v>141</v>
      </c>
      <c r="F86" s="649" t="s">
        <v>103</v>
      </c>
      <c r="G86" s="647" t="s">
        <v>142</v>
      </c>
      <c r="H86" s="649" t="s">
        <v>103</v>
      </c>
      <c r="I86" s="647" t="s">
        <v>142</v>
      </c>
      <c r="J86" s="643" t="s">
        <v>143</v>
      </c>
    </row>
    <row r="87" spans="2:10" ht="14.65" customHeight="1" x14ac:dyDescent="0.25">
      <c r="B87" s="592"/>
      <c r="C87" s="592"/>
      <c r="D87" s="646"/>
      <c r="E87" s="648"/>
      <c r="F87" s="650"/>
      <c r="G87" s="648"/>
      <c r="H87" s="650"/>
      <c r="I87" s="648"/>
      <c r="J87" s="644"/>
    </row>
    <row r="88" spans="2:10" ht="14.65" customHeight="1" x14ac:dyDescent="0.25">
      <c r="B88" s="592"/>
      <c r="C88" s="592"/>
      <c r="D88" s="646"/>
      <c r="E88" s="648"/>
      <c r="F88" s="650"/>
      <c r="G88" s="648"/>
      <c r="H88" s="650"/>
      <c r="I88" s="648"/>
      <c r="J88" s="644"/>
    </row>
    <row r="89" spans="2:10" ht="14.65" customHeight="1" thickBot="1" x14ac:dyDescent="0.3">
      <c r="B89" s="592"/>
      <c r="C89" s="592"/>
      <c r="D89" s="209" t="s">
        <v>144</v>
      </c>
      <c r="E89" s="210" t="s">
        <v>145</v>
      </c>
      <c r="F89" s="211" t="s">
        <v>107</v>
      </c>
      <c r="G89" s="210" t="s">
        <v>146</v>
      </c>
      <c r="H89" s="209" t="s">
        <v>147</v>
      </c>
      <c r="I89" s="212" t="s">
        <v>148</v>
      </c>
      <c r="J89" s="206" t="s">
        <v>149</v>
      </c>
    </row>
    <row r="90" spans="2:10" ht="14.65" customHeight="1" x14ac:dyDescent="0.25">
      <c r="B90" s="128">
        <f>ÜLDANDMED!H11</f>
        <v>2027</v>
      </c>
      <c r="C90" s="153" t="s">
        <v>150</v>
      </c>
      <c r="D90" s="187"/>
      <c r="E90" s="239"/>
      <c r="F90" s="185"/>
      <c r="G90" s="188"/>
      <c r="H90" s="240"/>
      <c r="I90" s="239"/>
      <c r="J90" s="234"/>
    </row>
    <row r="91" spans="2:10" ht="14.65" customHeight="1" x14ac:dyDescent="0.25">
      <c r="B91" s="77"/>
      <c r="C91" s="71" t="s">
        <v>151</v>
      </c>
      <c r="D91" s="437"/>
      <c r="E91" s="429">
        <f>D91*kütus_bensiin_kaubik_2027/1000</f>
        <v>0</v>
      </c>
      <c r="F91" s="440"/>
      <c r="G91" s="431">
        <f>F91*transport_kaubik_bensiin_km_2027/1000</f>
        <v>0</v>
      </c>
      <c r="H91" s="443"/>
      <c r="I91" s="429">
        <f>H91*transport_kaubik_bensiin_tonnkm_2027/1000</f>
        <v>0</v>
      </c>
      <c r="J91" s="433">
        <f>SUM(E91+G91+I91)</f>
        <v>0</v>
      </c>
    </row>
    <row r="92" spans="2:10" ht="14.65" customHeight="1" x14ac:dyDescent="0.25">
      <c r="B92" s="77"/>
      <c r="C92" s="71" t="s">
        <v>152</v>
      </c>
      <c r="D92" s="437"/>
      <c r="E92" s="429">
        <f>D92*kütus_diisel_kaubik_2027/1000</f>
        <v>0</v>
      </c>
      <c r="F92" s="440"/>
      <c r="G92" s="431">
        <f>F92*transport_kaubik_diisel_km_2027/1000</f>
        <v>0</v>
      </c>
      <c r="H92" s="443"/>
      <c r="I92" s="429">
        <f>H92*transport_kaubik_diisel_tonnkm_2027/1000</f>
        <v>0</v>
      </c>
      <c r="J92" s="433">
        <f t="shared" ref="J92:J94" si="5">SUM(E92+G92+I92)</f>
        <v>0</v>
      </c>
    </row>
    <row r="93" spans="2:10" ht="14.65" customHeight="1" x14ac:dyDescent="0.25">
      <c r="B93" s="77"/>
      <c r="C93" s="84" t="s">
        <v>153</v>
      </c>
      <c r="D93" s="437"/>
      <c r="E93" s="429">
        <f>D93*kütus_taastuvelekter/1000</f>
        <v>0</v>
      </c>
      <c r="F93" s="440"/>
      <c r="G93" s="431">
        <f>F93*kütus_taastuvelekter/1000</f>
        <v>0</v>
      </c>
      <c r="H93" s="443"/>
      <c r="I93" s="429">
        <f>H93*kütus_taastuvelekter/1000</f>
        <v>0</v>
      </c>
      <c r="J93" s="433">
        <f t="shared" si="5"/>
        <v>0</v>
      </c>
    </row>
    <row r="94" spans="2:10" ht="14.65" customHeight="1" x14ac:dyDescent="0.25">
      <c r="B94" s="77"/>
      <c r="C94" s="84" t="s">
        <v>154</v>
      </c>
      <c r="D94" s="437"/>
      <c r="E94" s="429">
        <f>D94*segajääk_2027/1000</f>
        <v>0</v>
      </c>
      <c r="F94" s="440"/>
      <c r="G94" s="431">
        <f>F94*transport_kaubik_tavaelekter_km_2027/1000</f>
        <v>0</v>
      </c>
      <c r="H94" s="443"/>
      <c r="I94" s="429">
        <f>H94*transport_kaubik_tavaelekter_tonnkm_2027/1000</f>
        <v>0</v>
      </c>
      <c r="J94" s="433">
        <f t="shared" si="5"/>
        <v>0</v>
      </c>
    </row>
    <row r="95" spans="2:10" ht="14.65" customHeight="1" x14ac:dyDescent="0.25">
      <c r="B95" s="77"/>
      <c r="C95" s="189" t="s">
        <v>155</v>
      </c>
      <c r="D95" s="195"/>
      <c r="E95" s="196"/>
      <c r="F95" s="195"/>
      <c r="G95" s="197"/>
      <c r="H95" s="203"/>
      <c r="I95" s="204"/>
      <c r="J95" s="228"/>
    </row>
    <row r="96" spans="2:10" ht="14.65" customHeight="1" x14ac:dyDescent="0.25">
      <c r="B96" s="77"/>
      <c r="C96" s="71" t="s">
        <v>156</v>
      </c>
      <c r="D96" s="438"/>
      <c r="E96" s="429">
        <f>D96*kütus_diisel_buss_2027/1000</f>
        <v>0</v>
      </c>
      <c r="F96" s="441"/>
      <c r="G96" s="431">
        <f>F96*transport_buss_2027/1000</f>
        <v>0</v>
      </c>
      <c r="H96" s="230"/>
      <c r="I96" s="237"/>
      <c r="J96" s="434">
        <f>SUM(E96+G96)</f>
        <v>0</v>
      </c>
    </row>
    <row r="97" spans="2:10" ht="14.65" customHeight="1" thickBot="1" x14ac:dyDescent="0.3">
      <c r="B97" s="87"/>
      <c r="C97" s="207" t="s">
        <v>157</v>
      </c>
      <c r="D97" s="439"/>
      <c r="E97" s="430">
        <f>D97*kütus_diisel_kaubik_2027/1000</f>
        <v>0</v>
      </c>
      <c r="F97" s="442"/>
      <c r="G97" s="432">
        <f>IFERROR(F97*transport_väikebuss_2027/1000,0)</f>
        <v>0</v>
      </c>
      <c r="H97" s="231"/>
      <c r="I97" s="238"/>
      <c r="J97" s="435">
        <f>SUM(E97+G97)</f>
        <v>0</v>
      </c>
    </row>
    <row r="98" spans="2:10" ht="14.65" customHeight="1" thickBot="1" x14ac:dyDescent="0.3">
      <c r="B98" s="131"/>
      <c r="C98" s="225" t="s">
        <v>158</v>
      </c>
      <c r="D98" s="226"/>
      <c r="E98" s="227"/>
      <c r="F98" s="227"/>
      <c r="G98" s="227"/>
      <c r="H98" s="227"/>
      <c r="I98" s="221"/>
      <c r="J98" s="436">
        <f>SUM(J91:J94,J96:J97)</f>
        <v>0</v>
      </c>
    </row>
    <row r="99" spans="2:10" ht="14.65" customHeight="1" x14ac:dyDescent="0.25">
      <c r="C99"/>
      <c r="D99"/>
      <c r="E99"/>
      <c r="F99"/>
      <c r="G99"/>
      <c r="I99"/>
    </row>
    <row r="100" spans="2:10" ht="14.65" customHeight="1" thickBot="1" x14ac:dyDescent="0.3">
      <c r="C100"/>
      <c r="D100"/>
      <c r="E100"/>
      <c r="F100"/>
      <c r="G100"/>
      <c r="I100"/>
    </row>
    <row r="101" spans="2:10" ht="14.65" customHeight="1" x14ac:dyDescent="0.25">
      <c r="B101" s="591" t="s">
        <v>9</v>
      </c>
      <c r="C101" s="591" t="s">
        <v>10</v>
      </c>
      <c r="D101" s="645" t="s">
        <v>89</v>
      </c>
      <c r="E101" s="647" t="s">
        <v>141</v>
      </c>
      <c r="F101" s="649" t="s">
        <v>103</v>
      </c>
      <c r="G101" s="647" t="s">
        <v>142</v>
      </c>
      <c r="H101" s="649" t="s">
        <v>103</v>
      </c>
      <c r="I101" s="647" t="s">
        <v>142</v>
      </c>
      <c r="J101" s="643" t="s">
        <v>143</v>
      </c>
    </row>
    <row r="102" spans="2:10" ht="14.65" customHeight="1" x14ac:dyDescent="0.25">
      <c r="B102" s="592"/>
      <c r="C102" s="592"/>
      <c r="D102" s="646"/>
      <c r="E102" s="648"/>
      <c r="F102" s="650"/>
      <c r="G102" s="648"/>
      <c r="H102" s="650"/>
      <c r="I102" s="648"/>
      <c r="J102" s="644"/>
    </row>
    <row r="103" spans="2:10" ht="14.65" customHeight="1" x14ac:dyDescent="0.25">
      <c r="B103" s="592"/>
      <c r="C103" s="592"/>
      <c r="D103" s="646"/>
      <c r="E103" s="648"/>
      <c r="F103" s="650"/>
      <c r="G103" s="648"/>
      <c r="H103" s="650"/>
      <c r="I103" s="648"/>
      <c r="J103" s="644"/>
    </row>
    <row r="104" spans="2:10" ht="14.65" customHeight="1" thickBot="1" x14ac:dyDescent="0.3">
      <c r="B104" s="592"/>
      <c r="C104" s="592"/>
      <c r="D104" s="209" t="s">
        <v>144</v>
      </c>
      <c r="E104" s="210" t="s">
        <v>145</v>
      </c>
      <c r="F104" s="211" t="s">
        <v>107</v>
      </c>
      <c r="G104" s="210" t="s">
        <v>146</v>
      </c>
      <c r="H104" s="209" t="s">
        <v>147</v>
      </c>
      <c r="I104" s="212" t="s">
        <v>148</v>
      </c>
      <c r="J104" s="206" t="s">
        <v>149</v>
      </c>
    </row>
    <row r="105" spans="2:10" ht="14.65" customHeight="1" x14ac:dyDescent="0.25">
      <c r="B105" s="184">
        <f>ÜLDANDMED!I11</f>
        <v>2028</v>
      </c>
      <c r="C105" s="153" t="s">
        <v>150</v>
      </c>
      <c r="D105" s="187"/>
      <c r="E105" s="239"/>
      <c r="F105" s="185"/>
      <c r="G105" s="188"/>
      <c r="H105" s="240"/>
      <c r="I105" s="239"/>
      <c r="J105" s="234"/>
    </row>
    <row r="106" spans="2:10" ht="14.65" customHeight="1" x14ac:dyDescent="0.25">
      <c r="B106" s="85"/>
      <c r="C106" s="71" t="s">
        <v>151</v>
      </c>
      <c r="D106" s="437"/>
      <c r="E106" s="429">
        <f>D106*kütus_bensiin_kaubik_2028/1000</f>
        <v>0</v>
      </c>
      <c r="F106" s="440"/>
      <c r="G106" s="431">
        <f>F106*transport_kaubik_bensiin_km_2028/1000</f>
        <v>0</v>
      </c>
      <c r="H106" s="443"/>
      <c r="I106" s="429">
        <f>H106*transport_kaubik_bensiin_tonnkm_2028/1000</f>
        <v>0</v>
      </c>
      <c r="J106" s="433">
        <f>SUM(E106+G106+I106)</f>
        <v>0</v>
      </c>
    </row>
    <row r="107" spans="2:10" ht="14.65" customHeight="1" x14ac:dyDescent="0.25">
      <c r="B107" s="85"/>
      <c r="C107" s="71" t="s">
        <v>152</v>
      </c>
      <c r="D107" s="437"/>
      <c r="E107" s="429">
        <f>D107*kütus_diisel_kaubik_2028/1000</f>
        <v>0</v>
      </c>
      <c r="F107" s="440"/>
      <c r="G107" s="431">
        <f>F107*transport_kaubik_diisel_km_2028/1000</f>
        <v>0</v>
      </c>
      <c r="H107" s="443"/>
      <c r="I107" s="429">
        <f>H107*transport_kaubik_diisel_tonnkm_2028/1000</f>
        <v>0</v>
      </c>
      <c r="J107" s="433">
        <f t="shared" ref="J107:J109" si="6">SUM(E107+G107+I107)</f>
        <v>0</v>
      </c>
    </row>
    <row r="108" spans="2:10" ht="14.65" customHeight="1" x14ac:dyDescent="0.25">
      <c r="B108" s="85"/>
      <c r="C108" s="84" t="s">
        <v>153</v>
      </c>
      <c r="D108" s="437"/>
      <c r="E108" s="429">
        <f>D108*kütus_taastuvelekter/1000</f>
        <v>0</v>
      </c>
      <c r="F108" s="440"/>
      <c r="G108" s="431">
        <f>F108*kütus_taastuvelekter/1000</f>
        <v>0</v>
      </c>
      <c r="H108" s="443"/>
      <c r="I108" s="429">
        <f>H108*kütus_taastuvelekter/1000</f>
        <v>0</v>
      </c>
      <c r="J108" s="433">
        <f t="shared" si="6"/>
        <v>0</v>
      </c>
    </row>
    <row r="109" spans="2:10" ht="14.65" customHeight="1" x14ac:dyDescent="0.25">
      <c r="B109" s="85"/>
      <c r="C109" s="84" t="s">
        <v>154</v>
      </c>
      <c r="D109" s="437"/>
      <c r="E109" s="429">
        <f>D109*segajääk_2028/1000</f>
        <v>0</v>
      </c>
      <c r="F109" s="440"/>
      <c r="G109" s="431">
        <f>F109*transport_kaubik_tavaelekter_km_2028/1000</f>
        <v>0</v>
      </c>
      <c r="H109" s="443"/>
      <c r="I109" s="429">
        <f>H109*transport_kaubik_tavaelekter_tonnkm_2028/1000</f>
        <v>0</v>
      </c>
      <c r="J109" s="433">
        <f t="shared" si="6"/>
        <v>0</v>
      </c>
    </row>
    <row r="110" spans="2:10" ht="14.65" customHeight="1" x14ac:dyDescent="0.25">
      <c r="B110" s="85"/>
      <c r="C110" s="189" t="s">
        <v>155</v>
      </c>
      <c r="D110" s="195"/>
      <c r="E110" s="196"/>
      <c r="F110" s="195"/>
      <c r="G110" s="197"/>
      <c r="H110" s="203"/>
      <c r="I110" s="204"/>
      <c r="J110" s="228"/>
    </row>
    <row r="111" spans="2:10" ht="14.65" customHeight="1" x14ac:dyDescent="0.25">
      <c r="B111" s="85"/>
      <c r="C111" s="71" t="s">
        <v>156</v>
      </c>
      <c r="D111" s="438"/>
      <c r="E111" s="429">
        <f>D111*kütus_diisel_buss_2028/1000</f>
        <v>0</v>
      </c>
      <c r="F111" s="441"/>
      <c r="G111" s="431">
        <f>F111*transport_buss_2028/1000</f>
        <v>0</v>
      </c>
      <c r="H111" s="230"/>
      <c r="I111" s="237"/>
      <c r="J111" s="434">
        <f>SUM(E111+G111)</f>
        <v>0</v>
      </c>
    </row>
    <row r="112" spans="2:10" ht="14.65" customHeight="1" thickBot="1" x14ac:dyDescent="0.3">
      <c r="B112" s="87"/>
      <c r="C112" s="207" t="s">
        <v>157</v>
      </c>
      <c r="D112" s="439"/>
      <c r="E112" s="430">
        <f>D112*kütus_diisel_kaubik_2028/1000</f>
        <v>0</v>
      </c>
      <c r="F112" s="442"/>
      <c r="G112" s="432">
        <f>IFERROR(F112*transport_väikebuss_2028/1000,0)</f>
        <v>0</v>
      </c>
      <c r="H112" s="231"/>
      <c r="I112" s="238"/>
      <c r="J112" s="435">
        <f>SUM(E112+G112)</f>
        <v>0</v>
      </c>
    </row>
    <row r="113" spans="2:10" ht="14.65" customHeight="1" thickBot="1" x14ac:dyDescent="0.3">
      <c r="B113" s="131"/>
      <c r="C113" s="225" t="s">
        <v>158</v>
      </c>
      <c r="D113" s="226"/>
      <c r="E113" s="227"/>
      <c r="F113" s="227"/>
      <c r="G113" s="227"/>
      <c r="H113" s="227"/>
      <c r="I113" s="221"/>
      <c r="J113" s="436">
        <f>SUM(J106:J109,J111:J112)</f>
        <v>0</v>
      </c>
    </row>
  </sheetData>
  <mergeCells count="64">
    <mergeCell ref="G101:G103"/>
    <mergeCell ref="H101:H103"/>
    <mergeCell ref="I101:I103"/>
    <mergeCell ref="J101:J103"/>
    <mergeCell ref="B4:J4"/>
    <mergeCell ref="B101:B104"/>
    <mergeCell ref="C101:C104"/>
    <mergeCell ref="D101:D103"/>
    <mergeCell ref="E101:E103"/>
    <mergeCell ref="F101:F103"/>
    <mergeCell ref="G71:G73"/>
    <mergeCell ref="H71:H73"/>
    <mergeCell ref="I71:I73"/>
    <mergeCell ref="J71:J73"/>
    <mergeCell ref="B86:B89"/>
    <mergeCell ref="C86:C89"/>
    <mergeCell ref="I86:I88"/>
    <mergeCell ref="J86:J88"/>
    <mergeCell ref="B71:B74"/>
    <mergeCell ref="C71:C74"/>
    <mergeCell ref="D71:D73"/>
    <mergeCell ref="E71:E73"/>
    <mergeCell ref="F71:F73"/>
    <mergeCell ref="D86:D88"/>
    <mergeCell ref="E86:E88"/>
    <mergeCell ref="F86:F88"/>
    <mergeCell ref="G86:G88"/>
    <mergeCell ref="H86:H88"/>
    <mergeCell ref="G56:G58"/>
    <mergeCell ref="H56:H58"/>
    <mergeCell ref="I56:I58"/>
    <mergeCell ref="J56:J58"/>
    <mergeCell ref="B41:B44"/>
    <mergeCell ref="C41:C44"/>
    <mergeCell ref="D41:D43"/>
    <mergeCell ref="E41:E43"/>
    <mergeCell ref="F41:F43"/>
    <mergeCell ref="G41:G43"/>
    <mergeCell ref="B56:B59"/>
    <mergeCell ref="C56:C59"/>
    <mergeCell ref="D56:D58"/>
    <mergeCell ref="E56:E58"/>
    <mergeCell ref="F56:F58"/>
    <mergeCell ref="H11:H13"/>
    <mergeCell ref="I11:I13"/>
    <mergeCell ref="J41:J43"/>
    <mergeCell ref="H41:H43"/>
    <mergeCell ref="I41:I43"/>
    <mergeCell ref="B11:B14"/>
    <mergeCell ref="C11:C14"/>
    <mergeCell ref="J11:J13"/>
    <mergeCell ref="B26:B29"/>
    <mergeCell ref="C26:C29"/>
    <mergeCell ref="D26:D28"/>
    <mergeCell ref="E26:E28"/>
    <mergeCell ref="F26:F28"/>
    <mergeCell ref="G26:G28"/>
    <mergeCell ref="H26:H28"/>
    <mergeCell ref="I26:I28"/>
    <mergeCell ref="J26:J28"/>
    <mergeCell ref="D11:D13"/>
    <mergeCell ref="E11:E13"/>
    <mergeCell ref="F11:F13"/>
    <mergeCell ref="G11:G13"/>
  </mergeCells>
  <pageMargins left="0.70866141732283472" right="0.70866141732283472" top="0.74803149606299213" bottom="0.74803149606299213" header="0.31496062992125984" footer="0.31496062992125984"/>
  <pageSetup scale="6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B8604"/>
  </sheetPr>
  <dimension ref="B2:AH47"/>
  <sheetViews>
    <sheetView showGridLines="0" zoomScaleNormal="100" zoomScaleSheetLayoutView="100" workbookViewId="0">
      <pane xSplit="1" ySplit="2" topLeftCell="B3" activePane="bottomRight" state="frozen"/>
      <selection pane="topRight" activeCell="B1" sqref="B1"/>
      <selection pane="bottomLeft" activeCell="A3" sqref="A3"/>
      <selection pane="bottomRight" activeCell="Q46" sqref="Q46"/>
    </sheetView>
  </sheetViews>
  <sheetFormatPr defaultRowHeight="15" x14ac:dyDescent="0.25"/>
  <cols>
    <col min="1" max="1" width="2.5703125" customWidth="1"/>
    <col min="2" max="2" width="56.7109375" customWidth="1"/>
    <col min="3" max="7" width="9.28515625" style="39" customWidth="1"/>
    <col min="8" max="8" width="9.28515625" style="63" customWidth="1"/>
    <col min="9" max="9" width="9.28515625" style="63"/>
    <col min="12" max="12" width="8.7109375" customWidth="1"/>
    <col min="15" max="15" width="10" bestFit="1" customWidth="1"/>
    <col min="26" max="26" width="17" customWidth="1"/>
  </cols>
  <sheetData>
    <row r="2" spans="2:11" ht="18.75" x14ac:dyDescent="0.3">
      <c r="B2" s="25" t="s">
        <v>361</v>
      </c>
    </row>
    <row r="3" spans="2:11" x14ac:dyDescent="0.25">
      <c r="B3" s="22"/>
      <c r="K3" s="49"/>
    </row>
    <row r="4" spans="2:11" ht="69" customHeight="1" x14ac:dyDescent="0.25">
      <c r="B4" s="635" t="s">
        <v>376</v>
      </c>
      <c r="C4" s="540"/>
      <c r="D4" s="540"/>
      <c r="E4" s="540"/>
      <c r="F4" s="540"/>
      <c r="G4" s="540"/>
      <c r="H4" s="540"/>
      <c r="I4" s="541"/>
    </row>
    <row r="5" spans="2:11" x14ac:dyDescent="0.25">
      <c r="B5" s="35"/>
      <c r="C5" s="65"/>
      <c r="D5" s="65"/>
    </row>
    <row r="6" spans="2:11" ht="15.75" x14ac:dyDescent="0.25">
      <c r="B6" s="156" t="s">
        <v>160</v>
      </c>
      <c r="C6" s="67"/>
    </row>
    <row r="7" spans="2:11" ht="16.5" thickBot="1" x14ac:dyDescent="0.3">
      <c r="B7" s="146"/>
      <c r="C7" s="67"/>
      <c r="D7" s="67"/>
      <c r="F7" s="262"/>
    </row>
    <row r="8" spans="2:11" ht="16.5" thickBot="1" x14ac:dyDescent="0.3">
      <c r="B8" s="179"/>
      <c r="C8" s="50">
        <f>ÜLDANDMED!C11</f>
        <v>2022</v>
      </c>
      <c r="D8" s="50">
        <f>ÜLDANDMED!D11</f>
        <v>2023</v>
      </c>
      <c r="E8" s="50">
        <f>ÜLDANDMED!E11</f>
        <v>2024</v>
      </c>
      <c r="F8" s="50">
        <f>ÜLDANDMED!F11</f>
        <v>2025</v>
      </c>
      <c r="G8" s="50">
        <f>ÜLDANDMED!G11</f>
        <v>2026</v>
      </c>
      <c r="H8" s="50">
        <f>ÜLDANDMED!H11</f>
        <v>2027</v>
      </c>
      <c r="I8" s="50">
        <f>ÜLDANDMED!I11</f>
        <v>2028</v>
      </c>
    </row>
    <row r="9" spans="2:11" x14ac:dyDescent="0.25">
      <c r="B9" s="444" t="s">
        <v>383</v>
      </c>
      <c r="C9" s="447">
        <f>'KHG_OMA SÕIDUKID M1'!E19</f>
        <v>0</v>
      </c>
      <c r="D9" s="447">
        <f>'KHG_OMA SÕIDUKID M1'!E32</f>
        <v>0</v>
      </c>
      <c r="E9" s="447">
        <f>'KHG_OMA SÕIDUKID M1'!E45</f>
        <v>0</v>
      </c>
      <c r="F9" s="447">
        <f>'KHG_OMA SÕIDUKID M1'!E58</f>
        <v>0</v>
      </c>
      <c r="G9" s="447">
        <f>'KHG_OMA SÕIDUKID M1'!E71</f>
        <v>0</v>
      </c>
      <c r="H9" s="447">
        <f>'KHG_OMA SÕIDUKID M1'!E84</f>
        <v>0</v>
      </c>
      <c r="I9" s="447">
        <f>'KHG_OMA SÕIDUKID M1'!E97</f>
        <v>0</v>
      </c>
    </row>
    <row r="10" spans="2:11" ht="15.75" thickBot="1" x14ac:dyDescent="0.3">
      <c r="B10" s="445" t="s">
        <v>161</v>
      </c>
      <c r="C10" s="446">
        <f>'KHG_HAJUSHEITMED M1'!F27</f>
        <v>0</v>
      </c>
      <c r="D10" s="446">
        <f>'KHG_HAJUSHEITMED M1'!F46</f>
        <v>0</v>
      </c>
      <c r="E10" s="446">
        <f>'KHG_HAJUSHEITMED M1'!F65</f>
        <v>0</v>
      </c>
      <c r="F10" s="446">
        <f>'KHG_HAJUSHEITMED M1'!F84</f>
        <v>0</v>
      </c>
      <c r="G10" s="446">
        <f>'KHG_HAJUSHEITMED M1'!F103</f>
        <v>0</v>
      </c>
      <c r="H10" s="446">
        <f>'KHG_HAJUSHEITMED M1'!F122</f>
        <v>0</v>
      </c>
      <c r="I10" s="446">
        <f>'KHG_HAJUSHEITMED M1'!F141</f>
        <v>0</v>
      </c>
    </row>
    <row r="11" spans="2:11" ht="15.75" thickBot="1" x14ac:dyDescent="0.3">
      <c r="B11" s="154" t="s">
        <v>162</v>
      </c>
      <c r="C11" s="155">
        <f t="shared" ref="C11:I11" si="0">SUM(C9+C10)</f>
        <v>0</v>
      </c>
      <c r="D11" s="155">
        <f t="shared" si="0"/>
        <v>0</v>
      </c>
      <c r="E11" s="155">
        <f t="shared" si="0"/>
        <v>0</v>
      </c>
      <c r="F11" s="155">
        <f t="shared" si="0"/>
        <v>0</v>
      </c>
      <c r="G11" s="155">
        <f t="shared" si="0"/>
        <v>0</v>
      </c>
      <c r="H11" s="155">
        <f t="shared" si="0"/>
        <v>0</v>
      </c>
      <c r="I11" s="155">
        <f t="shared" si="0"/>
        <v>0</v>
      </c>
    </row>
    <row r="12" spans="2:11" ht="16.5" thickBot="1" x14ac:dyDescent="0.3">
      <c r="B12" s="172"/>
      <c r="I12" s="173"/>
      <c r="K12" s="17"/>
    </row>
    <row r="13" spans="2:11" ht="15.75" thickBot="1" x14ac:dyDescent="0.3">
      <c r="B13" s="174"/>
      <c r="C13" s="50">
        <f>ÜLDANDMED!C11</f>
        <v>2022</v>
      </c>
      <c r="D13" s="50">
        <f>ÜLDANDMED!D11</f>
        <v>2023</v>
      </c>
      <c r="E13" s="50">
        <f>ÜLDANDMED!E11</f>
        <v>2024</v>
      </c>
      <c r="F13" s="50">
        <f>ÜLDANDMED!F11</f>
        <v>2025</v>
      </c>
      <c r="G13" s="50">
        <f>ÜLDANDMED!G11</f>
        <v>2026</v>
      </c>
      <c r="H13" s="50">
        <f>ÜLDANDMED!H11</f>
        <v>2027</v>
      </c>
      <c r="I13" s="50">
        <f>ÜLDANDMED!I11</f>
        <v>2028</v>
      </c>
      <c r="K13" s="17"/>
    </row>
    <row r="14" spans="2:11" x14ac:dyDescent="0.25">
      <c r="B14" s="448" t="s">
        <v>384</v>
      </c>
      <c r="C14" s="517">
        <f>(ELEKTER!P13*(1-ELEKTER!Q13))*segajääk_2022/1000</f>
        <v>0</v>
      </c>
      <c r="D14" s="449">
        <f>(ELEKTER!P18*(1-ELEKTER!Q18))*segajääk_2023/1000</f>
        <v>0</v>
      </c>
      <c r="E14" s="449">
        <f>(ELEKTER!P23*(1-ELEKTER!Q23))*segajääk_2024/1000</f>
        <v>0</v>
      </c>
      <c r="F14" s="449">
        <f>(ELEKTER!P28*(1-ELEKTER!Q28))*segajääk_2025/1000</f>
        <v>0</v>
      </c>
      <c r="G14" s="449">
        <f>(ELEKTER!P33*(1-ELEKTER!Q33))*segajääk_2026/1000</f>
        <v>0</v>
      </c>
      <c r="H14" s="449">
        <f>(ELEKTER!P38*(1-ELEKTER!Q38))*segajääk_2027/1000</f>
        <v>0</v>
      </c>
      <c r="I14" s="449">
        <f>(ELEKTER!P43*(1-ELEKTER!Q43))*segajääk_2028/1000</f>
        <v>0</v>
      </c>
    </row>
    <row r="15" spans="2:11" x14ac:dyDescent="0.25">
      <c r="B15" s="455" t="s">
        <v>385</v>
      </c>
      <c r="C15" s="450">
        <f>IF(ISBLANK(SOOJUS!Q16),(SOOJUS!P16*(IF(SOOJUS!S16="biomass/puit",lokaalküte_biomass_2022,IF(SOOJUS!S16="freesturvas",lokaalküte_freesturvas_2022,IF(SOOJUS!S16="kütteõli",lokaalküte_kütteõli_2022,IF(SOOJUS!S16="maagaas",lokaalküte_maagaas_2022,IF(SOOJUS!S16="põlevkiviõli",lokaalküte_põlevkiviõli_2022)))))))/1000,SOOJUS!P16*SOOJUS!R16/1000)</f>
        <v>0</v>
      </c>
      <c r="D15" s="451">
        <f>IF(ISBLANK(SOOJUS!Q18),(SOOJUS!P18*(IF(SOOJUS!S18="biomass/puit",lokaalküte_biomass_2023,IF(SOOJUS!S18="freesturvas",lokaalküte_freesturvas_2023,IF(SOOJUS!S18="kütteõli",lokaalküte_kütteõli_2023,IF(SOOJUS!S18="maagaas",lokaalküte_maagaas_2023,IF(SOOJUS!S18="põlevkiviõli",lokaalküte_põlevkiviõli_2023)))))))/1000,SOOJUS!P18*SOOJUS!R18/1000)</f>
        <v>0</v>
      </c>
      <c r="E15" s="451">
        <f>IF(ISBLANK(SOOJUS!Q20),(SOOJUS!P20*(IF(SOOJUS!S20="biomass/puit",lokaalküte_biomass_2024,IF(SOOJUS!S20="freesturvas",lokaalküte_freesturvas_2024,IF(SOOJUS!S20="kütteõli",lokaalküte_kütteõli_2024,IF(SOOJUS!S20="maagaas",lokaalküte_maagaas_2024,IF(SOOJUS!S20="põlevkiviõli",lokaalküte_põlevkiviõli_2024)))))))/1000,SOOJUS!P20*SOOJUS!R20/1000)</f>
        <v>0</v>
      </c>
      <c r="F15" s="451">
        <f>IF(ISBLANK(SOOJUS!Q22),(SOOJUS!P22*(IF(SOOJUS!S22="biomass/puit",lokaalküte_biomass_2025,IF(SOOJUS!S22="freesturvas",lokaalküte_freesturvas_2025,IF(SOOJUS!S22="kütteõli",lokaalküte_kütteõli_2025,IF(SOOJUS!S22="maagaas",lokaalküte_maagaas_2025,IF(SOOJUS!S22="põlevkiviõli",lokaalküte_põlevkiviõli_2025)))))))/1000,SOOJUS!P22*SOOJUS!R22/1000)</f>
        <v>0</v>
      </c>
      <c r="G15" s="451">
        <f>IF(ISBLANK(SOOJUS!Q24),(SOOJUS!P24*(IF(SOOJUS!S24="biomass/puit",lokaalküte_biomass_2026,IF(SOOJUS!S24="freesturvas",lokaalküte_freesturvas_2026,IF(SOOJUS!S24="kütteõli",lokaalküte_kütteõli_2026,IF(SOOJUS!S24="maagaas",lokaalküte_maagaas_2026,IF(SOOJUS!S24="põlevkiviõli",lokaalküte_põlevkiviõli_2026)))))))/1000,SOOJUS!P24*SOOJUS!R24/1000)</f>
        <v>0</v>
      </c>
      <c r="H15" s="451">
        <f>IF(ISBLANK(SOOJUS!Q26),(SOOJUS!P26*(IF(SOOJUS!S26="biomass/puit",lokaalküte_biomass_2027,IF(SOOJUS!S26="freesturvas",lokaalküte_freesturvas_2027,IF(SOOJUS!S26="kütteõli",lokaalküte_kütteõli_2027,IF(SOOJUS!S26="maagaas",lokaalküte_maagaas_2027,IF(SOOJUS!S26="põlevkiviõli",lokaalküte_põlevkiviõli_2027)))))))/1000,SOOJUS!P26*SOOJUS!R26/1000)</f>
        <v>0</v>
      </c>
      <c r="I15" s="451">
        <f>IF(ISBLANK(SOOJUS!Q28),(SOOJUS!P28*(IF(SOOJUS!S28="biomass/puit",lokaalküte_biomass_2028,IF(SOOJUS!S28="freesturvas",lokaalküte_freesturvas_2028,IF(SOOJUS!S28="kütteõli",lokaalküte_kütteõli_2028,IF(SOOJUS!S28="maagaas",lokaalküte_maagaas_2028,IF(SOOJUS!S28="põlevkiviõli",lokaalküte_põlevkiviõli_2028)))))))/1000,SOOJUS!P28*SOOJUS!R28/1000)</f>
        <v>0</v>
      </c>
    </row>
    <row r="16" spans="2:11" ht="15" customHeight="1" thickBot="1" x14ac:dyDescent="0.3">
      <c r="B16" s="456" t="s">
        <v>386</v>
      </c>
      <c r="C16" s="452">
        <f>'KHG_OMA SÕIDUKID M1'!E20</f>
        <v>0</v>
      </c>
      <c r="D16" s="453">
        <f>'KHG_OMA SÕIDUKID M1'!E33</f>
        <v>0</v>
      </c>
      <c r="E16" s="453">
        <f>'KHG_OMA SÕIDUKID M1'!E46</f>
        <v>0</v>
      </c>
      <c r="F16" s="453">
        <f>'KHG_OMA SÕIDUKID M1'!E59</f>
        <v>0</v>
      </c>
      <c r="G16" s="454">
        <f>'KHG_OMA SÕIDUKID M1'!E72</f>
        <v>0</v>
      </c>
      <c r="H16" s="453">
        <f>'KHG_OMA SÕIDUKID M1'!E85</f>
        <v>0</v>
      </c>
      <c r="I16" s="453">
        <f>'KHG_OMA SÕIDUKID M1'!E98</f>
        <v>0</v>
      </c>
    </row>
    <row r="17" spans="2:34" ht="15.75" thickBot="1" x14ac:dyDescent="0.3">
      <c r="B17" s="98" t="s">
        <v>163</v>
      </c>
      <c r="C17" s="155">
        <f>SUM(C14:C16)</f>
        <v>0</v>
      </c>
      <c r="D17" s="94">
        <f t="shared" ref="D17:I17" si="1">SUM(D14:D16)</f>
        <v>0</v>
      </c>
      <c r="E17" s="94">
        <f t="shared" si="1"/>
        <v>0</v>
      </c>
      <c r="F17" s="94">
        <f t="shared" si="1"/>
        <v>0</v>
      </c>
      <c r="G17" s="94">
        <f t="shared" si="1"/>
        <v>0</v>
      </c>
      <c r="H17" s="94">
        <f t="shared" si="1"/>
        <v>0</v>
      </c>
      <c r="I17" s="94">
        <f t="shared" si="1"/>
        <v>0</v>
      </c>
    </row>
    <row r="18" spans="2:34" ht="15.75" thickBot="1" x14ac:dyDescent="0.3">
      <c r="B18" s="175"/>
      <c r="I18" s="176"/>
      <c r="M18" s="27"/>
    </row>
    <row r="19" spans="2:34" ht="15.75" thickBot="1" x14ac:dyDescent="0.3">
      <c r="B19" s="177"/>
      <c r="C19" s="69">
        <f>ÜLDANDMED!C11</f>
        <v>2022</v>
      </c>
      <c r="D19" s="69">
        <f>ÜLDANDMED!D11</f>
        <v>2023</v>
      </c>
      <c r="E19" s="69">
        <f>ÜLDANDMED!E11</f>
        <v>2024</v>
      </c>
      <c r="F19" s="69">
        <f>ÜLDANDMED!F11</f>
        <v>2025</v>
      </c>
      <c r="G19" s="69">
        <f>ÜLDANDMED!G11</f>
        <v>2026</v>
      </c>
      <c r="H19" s="69">
        <f>ÜLDANDMED!H11</f>
        <v>2027</v>
      </c>
      <c r="I19" s="69">
        <f>ÜLDANDMED!I11</f>
        <v>2028</v>
      </c>
    </row>
    <row r="20" spans="2:34" x14ac:dyDescent="0.25">
      <c r="B20" s="457" t="s">
        <v>164</v>
      </c>
      <c r="C20" s="516">
        <f>(ELEKTER!P15*(1-ELEKTER!R15))*segajääk_2022/1000</f>
        <v>0</v>
      </c>
      <c r="D20" s="458">
        <f>(ELEKTER!P20*(1-ELEKTER!R20))*segajääk_2023/1000</f>
        <v>0</v>
      </c>
      <c r="E20" s="458">
        <f>(ELEKTER!P25*(1-ELEKTER!R25))*segajääk_2024/1000</f>
        <v>0</v>
      </c>
      <c r="F20" s="458">
        <f>(ELEKTER!P30*(1-ELEKTER!R30))*segajääk_2025/1000</f>
        <v>0</v>
      </c>
      <c r="G20" s="458">
        <f>(ELEKTER!P35*(1-ELEKTER!R35))*segajääk_2026/1000</f>
        <v>0</v>
      </c>
      <c r="H20" s="458">
        <f>(ELEKTER!P40*(1-ELEKTER!R40))*segajääk_2027/1000</f>
        <v>0</v>
      </c>
      <c r="I20" s="458">
        <f>(ELEKTER!P45*(1-ELEKTER!R45))*segajääk_2028/1000</f>
        <v>0</v>
      </c>
    </row>
    <row r="21" spans="2:34" x14ac:dyDescent="0.25">
      <c r="B21" s="464" t="s">
        <v>165</v>
      </c>
      <c r="C21" s="459">
        <f>'KHG_TÖÖREISID M3'!E30</f>
        <v>0</v>
      </c>
      <c r="D21" s="459">
        <f>'KHG_TÖÖREISID M3'!E53</f>
        <v>0</v>
      </c>
      <c r="E21" s="459">
        <f>'KHG_TÖÖREISID M3'!E76</f>
        <v>0</v>
      </c>
      <c r="F21" s="459">
        <f>'KHG_TÖÖREISID M3'!E99</f>
        <v>0</v>
      </c>
      <c r="G21" s="459">
        <f>'KHG_TÖÖREISID M3'!E122</f>
        <v>0</v>
      </c>
      <c r="H21" s="459">
        <f>'KHG_TÖÖREISID M3'!E145</f>
        <v>0</v>
      </c>
      <c r="I21" s="460">
        <f>'KHG_TÖÖREISID M3'!E168</f>
        <v>0</v>
      </c>
      <c r="K21" s="74"/>
      <c r="L21" s="74"/>
    </row>
    <row r="22" spans="2:34" x14ac:dyDescent="0.25">
      <c r="B22" s="465" t="s">
        <v>166</v>
      </c>
      <c r="C22" s="461">
        <f>'KHG_TÖÖLE-KOJU M3'!E33</f>
        <v>0</v>
      </c>
      <c r="D22" s="461">
        <f>'KHG_TÖÖLE-KOJU M3'!E59</f>
        <v>0</v>
      </c>
      <c r="E22" s="461">
        <f>'KHG_TÖÖLE-KOJU M3'!E85</f>
        <v>0</v>
      </c>
      <c r="F22" s="461">
        <f>'KHG_TÖÖLE-KOJU M3'!E111</f>
        <v>0</v>
      </c>
      <c r="G22" s="461">
        <f>'KHG_TÖÖLE-KOJU M3'!E137</f>
        <v>0</v>
      </c>
      <c r="H22" s="461">
        <f>'KHG_TÖÖLE-KOJU M3'!E163</f>
        <v>0</v>
      </c>
      <c r="I22" s="461">
        <f>'KHG_TÖÖLE-KOJU M3'!E189</f>
        <v>0</v>
      </c>
      <c r="K22" s="90"/>
    </row>
    <row r="23" spans="2:34" x14ac:dyDescent="0.25">
      <c r="B23" s="466" t="s">
        <v>167</v>
      </c>
      <c r="C23" s="462">
        <f>'KHG_TRANSPORDITEENUS M3'!J23</f>
        <v>0</v>
      </c>
      <c r="D23" s="462">
        <f>'KHG_TRANSPORDITEENUS M3'!J38</f>
        <v>0</v>
      </c>
      <c r="E23" s="462">
        <f>'KHG_TRANSPORDITEENUS M3'!J53</f>
        <v>0</v>
      </c>
      <c r="F23" s="462">
        <f>'KHG_TRANSPORDITEENUS M3'!J68</f>
        <v>0</v>
      </c>
      <c r="G23" s="462">
        <f>'KHG_TRANSPORDITEENUS M3'!J83</f>
        <v>0</v>
      </c>
      <c r="H23" s="462">
        <f>'KHG_TRANSPORDITEENUS M3'!J98</f>
        <v>0</v>
      </c>
      <c r="I23" s="462">
        <f>'KHG_TRANSPORDITEENUS M3'!J113</f>
        <v>0</v>
      </c>
      <c r="K23" s="90"/>
      <c r="AA23" s="2">
        <v>2022</v>
      </c>
      <c r="AB23" s="2">
        <v>2023</v>
      </c>
      <c r="AC23" s="2">
        <v>2024</v>
      </c>
      <c r="AD23" s="2">
        <v>2025</v>
      </c>
      <c r="AE23" s="2">
        <v>2026</v>
      </c>
      <c r="AF23" s="2">
        <v>2027</v>
      </c>
      <c r="AG23" s="2">
        <v>2028</v>
      </c>
      <c r="AH23" s="2" t="s">
        <v>168</v>
      </c>
    </row>
    <row r="24" spans="2:34" x14ac:dyDescent="0.25">
      <c r="B24" s="465" t="s">
        <v>169</v>
      </c>
      <c r="C24" s="462">
        <f>(VESI!P13*vesi_2022)/1000</f>
        <v>0</v>
      </c>
      <c r="D24" s="462">
        <f>(VESI!P15*vesi_2023)/1000</f>
        <v>0</v>
      </c>
      <c r="E24" s="462">
        <f>(VESI!P17*vesi_2024)/1000</f>
        <v>0</v>
      </c>
      <c r="F24" s="462">
        <f>(VESI!P19*vesi_2025)/1000</f>
        <v>0</v>
      </c>
      <c r="G24" s="462">
        <f>(VESI!P21*vesi_2026)/1000</f>
        <v>0</v>
      </c>
      <c r="H24" s="462">
        <f>(VESI!P23*vesi_2027)/1000</f>
        <v>0</v>
      </c>
      <c r="I24" s="462">
        <f>(VESI!P25*vesi_2028)/1000</f>
        <v>0</v>
      </c>
      <c r="Y24" s="2" t="s">
        <v>170</v>
      </c>
      <c r="Z24" s="21" t="s">
        <v>387</v>
      </c>
      <c r="AA24" s="159" t="e">
        <f>C9/C34</f>
        <v>#DIV/0!</v>
      </c>
      <c r="AB24" s="159" t="e">
        <f t="shared" ref="AB24:AG24" si="2">D9/D34</f>
        <v>#DIV/0!</v>
      </c>
      <c r="AC24" s="159" t="e">
        <f t="shared" si="2"/>
        <v>#DIV/0!</v>
      </c>
      <c r="AD24" s="159" t="e">
        <f t="shared" si="2"/>
        <v>#DIV/0!</v>
      </c>
      <c r="AE24" s="159" t="e">
        <f t="shared" si="2"/>
        <v>#DIV/0!</v>
      </c>
      <c r="AF24" s="159" t="e">
        <f t="shared" si="2"/>
        <v>#DIV/0!</v>
      </c>
      <c r="AG24" s="159" t="e">
        <f t="shared" si="2"/>
        <v>#DIV/0!</v>
      </c>
      <c r="AH24" s="160" t="e">
        <f ca="1">OFFSET(Z24,,MATCH('KHG JALAJÄLG KOOND'!$Q$46,$AA$23:$AG$23,0))</f>
        <v>#DIV/0!</v>
      </c>
    </row>
    <row r="25" spans="2:34" x14ac:dyDescent="0.25">
      <c r="B25" s="467" t="s">
        <v>171</v>
      </c>
      <c r="C25" s="529">
        <f>(PABER!D18*paber_2022/1000)+(PABER!D19*lehträtik/1000)+(PABER!D20*tualettpaber/1000)</f>
        <v>0</v>
      </c>
      <c r="D25" s="529">
        <f>(PABER!D24*paber_2023/1000)+(PABER!D25*lehträtik/1000)+(PABER!D26*tualettpaber/1000)</f>
        <v>0</v>
      </c>
      <c r="E25" s="529">
        <f>(PABER!D30*paber_2024/1000)+(PABER!D31*lehträtik/1000)+(PABER!D32*tualettpaber/1000)</f>
        <v>0</v>
      </c>
      <c r="F25" s="529">
        <f>(PABER!D36*paber_2025/1000)+(PABER!D37*lehträtik/1000)+(PABER!D38*tualettpaber/1000)</f>
        <v>0</v>
      </c>
      <c r="G25" s="529">
        <f>(PABER!D42*paber_2026/1000)+(PABER!D43*lehträtik/1000)+(PABER!D44*tualettpaber/1000)</f>
        <v>0</v>
      </c>
      <c r="H25" s="529">
        <f>(PABER!D48*paber_2027/1000)+(PABER!D49*lehträtik/1000)+(PABER!D50*tualettpaber/1000)</f>
        <v>0</v>
      </c>
      <c r="I25" s="529">
        <f>(PABER!D54*paber_2028/1000)+(PABER!D55*lehträtik/1000)+(PABER!D56*tualettpaber/1000)</f>
        <v>0</v>
      </c>
      <c r="Z25" s="21" t="s">
        <v>172</v>
      </c>
      <c r="AA25" s="159" t="e">
        <f>C10/C34</f>
        <v>#DIV/0!</v>
      </c>
      <c r="AB25" s="159" t="e">
        <f t="shared" ref="AB25:AG25" si="3">D10/D34</f>
        <v>#DIV/0!</v>
      </c>
      <c r="AC25" s="159" t="e">
        <f t="shared" si="3"/>
        <v>#DIV/0!</v>
      </c>
      <c r="AD25" s="159" t="e">
        <f t="shared" si="3"/>
        <v>#DIV/0!</v>
      </c>
      <c r="AE25" s="159" t="e">
        <f t="shared" si="3"/>
        <v>#DIV/0!</v>
      </c>
      <c r="AF25" s="159" t="e">
        <f t="shared" si="3"/>
        <v>#DIV/0!</v>
      </c>
      <c r="AG25" s="159" t="e">
        <f t="shared" si="3"/>
        <v>#DIV/0!</v>
      </c>
      <c r="AH25" s="160" t="e">
        <f ca="1">OFFSET(Z25,,MATCH('KHG JALAJÄLG KOOND'!$Q$46,$AA$23:$AG$23,0))</f>
        <v>#DIV/0!</v>
      </c>
    </row>
    <row r="26" spans="2:34" ht="15.75" thickBot="1" x14ac:dyDescent="0.3">
      <c r="B26" s="468" t="s">
        <v>173</v>
      </c>
      <c r="C26" s="460">
        <f>((JÄÄTMED!P20/1000*jäätmed_biojäätmed)+(JÄÄTMED!P21/1000*jäätmed_biojäätmed)+(JÄÄTMED!P23/1000*jäätmed_klaas)+(JÄÄTMED!P24/1000*jäätmed_klaas)+(JÄÄTMED!P26/1000*jäätmed_paber)+(JÄÄTMED!P27/1000*jäätmed_paber)+(JÄÄTMED!P29/1000*jäätmed_segapakend)+(JÄÄTMED!P30/1000*jäätmed_segapakend)+(JÄÄTMED!P33/1000*jäätmed_segaolme_prügila)+(JÄÄTMED!P34/1000*jäätmed_segaolme_prügila)+(JÄÄTMED!P36/1000*jäätmed_segaolme_põletus)+(JÄÄTMED!P37/1000*jäätmed_segaolme_põletus))/1000</f>
        <v>0</v>
      </c>
      <c r="D26" s="463">
        <f>((JÄÄTMED!P47/1000*jäätmed_biojäätmed)+(JÄÄTMED!P48/1000*jäätmed_biojäätmed)+(JÄÄTMED!P50/1000*jäätmed_klaas)+(JÄÄTMED!P51/1000*jäätmed_klaas)+(JÄÄTMED!P53/1000*jäätmed_paber)+(JÄÄTMED!P54/1000*jäätmed_paber)+(JÄÄTMED!P56/1000*jäätmed_segapakend)+(JÄÄTMED!P57/1000*jäätmed_segapakend)+(JÄÄTMED!P60/1000*jäätmed_segaolme_prügila)+(JÄÄTMED!P61/1000*jäätmed_segaolme_prügila)+(JÄÄTMED!P63/1000*jäätmed_segaolme_põletus)+(JÄÄTMED!P64/1000*jäätmed_segaolme_põletus))/1000</f>
        <v>0</v>
      </c>
      <c r="E26" s="463">
        <f>((JÄÄTMED!P74/1000*jäätmed_biojäätmed)+(JÄÄTMED!P75/1000*jäätmed_biojäätmed)+(JÄÄTMED!P77/1000*jäätmed_klaas)+(JÄÄTMED!P78/1000*jäätmed_klaas)+(JÄÄTMED!P80/1000*jäätmed_paber)+(JÄÄTMED!P81/1000*jäätmed_paber)+(JÄÄTMED!P83/1000*jäätmed_segapakend)+(JÄÄTMED!P84/1000*jäätmed_segapakend)+(JÄÄTMED!P87/1000*jäätmed_segaolme_prügila)+(JÄÄTMED!P88/1000*jäätmed_segaolme_prügila)+(JÄÄTMED!P90/1000*jäätmed_segaolme_põletus)+(JÄÄTMED!P91/1000*jäätmed_segaolme_põletus))/1000</f>
        <v>0</v>
      </c>
      <c r="F26" s="463">
        <f>((JÄÄTMED!P101/1000*jäätmed_biojäätmed)+(JÄÄTMED!P102/1000*jäätmed_biojäätmed)+(JÄÄTMED!P104/1000*jäätmed_klaas)+(JÄÄTMED!P105/1000*jäätmed_klaas)+(JÄÄTMED!P107/1000*jäätmed_paber)+(JÄÄTMED!P108/1000*jäätmed_paber)+(JÄÄTMED!P110/1000*jäätmed_segapakend)+(JÄÄTMED!P111/1000*jäätmed_segapakend)+(JÄÄTMED!P114/1000*jäätmed_segaolme_prügila)+(JÄÄTMED!P115/1000*jäätmed_segaolme_prügila)+(JÄÄTMED!P117/1000*jäätmed_segaolme_põletus)+(JÄÄTMED!P118/1000*jäätmed_segaolme_põletus))/1000</f>
        <v>0</v>
      </c>
      <c r="G26" s="463">
        <f>((JÄÄTMED!P128/1000*jäätmed_biojäätmed)+(JÄÄTMED!P129/1000*jäätmed_biojäätmed)+(JÄÄTMED!P131/1000*jäätmed_klaas)+(JÄÄTMED!P132/1000*jäätmed_klaas)+(JÄÄTMED!P134/1000*jäätmed_paber)+(JÄÄTMED!P135/1000*jäätmed_paber)+(JÄÄTMED!P137/1000*jäätmed_segapakend)+(JÄÄTMED!P138/1000*jäätmed_segapakend)+(JÄÄTMED!P141/1000*jäätmed_segaolme_prügila)+(JÄÄTMED!P142/1000*jäätmed_segaolme_prügila)+(JÄÄTMED!P144/1000*jäätmed_segaolme_põletus)+(JÄÄTMED!P145/1000*jäätmed_segaolme_põletus))/1000</f>
        <v>0</v>
      </c>
      <c r="H26" s="463">
        <f>((JÄÄTMED!P155/1000*jäätmed_biojäätmed)+(JÄÄTMED!P156/1000*jäätmed_biojäätmed)+(JÄÄTMED!P158/1000*jäätmed_klaas)+(JÄÄTMED!P159/1000*jäätmed_klaas)+(JÄÄTMED!P161/1000*jäätmed_paber)+(JÄÄTMED!P162/1000*jäätmed_paber)+(JÄÄTMED!P164/1000*jäätmed_segapakend)+(JÄÄTMED!P165/1000*jäätmed_segapakend)+(JÄÄTMED!P168/1000*jäätmed_segaolme_prügila)+(JÄÄTMED!P169/1000*jäätmed_segaolme_prügila)+(JÄÄTMED!P171/1000*jäätmed_segaolme_põletus)+(JÄÄTMED!P172/1000*jäätmed_segaolme_põletus))/1000</f>
        <v>0</v>
      </c>
      <c r="I26" s="463">
        <f>((JÄÄTMED!P182/1000*jäätmed_biojäätmed)+(JÄÄTMED!P183/1000*jäätmed_biojäätmed)+(JÄÄTMED!P185/1000*jäätmed_klaas)+(JÄÄTMED!P186/1000*jäätmed_klaas)+(JÄÄTMED!P188/1000*jäätmed_paber)+(JÄÄTMED!P189/1000*jäätmed_paber)+(JÄÄTMED!P191/1000*jäätmed_segapakend)+(JÄÄTMED!P192/1000*jäätmed_segapakend)+(JÄÄTMED!P195/1000*jäätmed_segaolme_prügila)+(JÄÄTMED!P196/1000*jäätmed_segaolme_prügila)+(JÄÄTMED!P198/1000*jäätmed_segaolme_põletus)+(JÄÄTMED!P199/1000*jäätmed_segaolme_põletus))/1000</f>
        <v>0</v>
      </c>
      <c r="Y26" s="2"/>
      <c r="Z26" s="255" t="s">
        <v>174</v>
      </c>
      <c r="AA26" s="161" t="e">
        <f>AA24+AA25</f>
        <v>#DIV/0!</v>
      </c>
      <c r="AB26" s="161" t="e">
        <f t="shared" ref="AB26:AF26" si="4">AB24+AB25</f>
        <v>#DIV/0!</v>
      </c>
      <c r="AC26" s="161" t="e">
        <f t="shared" si="4"/>
        <v>#DIV/0!</v>
      </c>
      <c r="AD26" s="161" t="e">
        <f t="shared" si="4"/>
        <v>#DIV/0!</v>
      </c>
      <c r="AE26" s="161" t="e">
        <f t="shared" si="4"/>
        <v>#DIV/0!</v>
      </c>
      <c r="AF26" s="161" t="e">
        <f t="shared" si="4"/>
        <v>#DIV/0!</v>
      </c>
      <c r="AG26" s="161" t="e">
        <f>AG24+AG25</f>
        <v>#DIV/0!</v>
      </c>
      <c r="AH26" s="162" t="e">
        <f ca="1">OFFSET(Z26,,MATCH('KHG JALAJÄLG KOOND'!$Q$46,$AA$23:$AG$23,0))</f>
        <v>#DIV/0!</v>
      </c>
    </row>
    <row r="27" spans="2:34" ht="15.75" thickBot="1" x14ac:dyDescent="0.3">
      <c r="B27" s="98" t="s">
        <v>175</v>
      </c>
      <c r="C27" s="155">
        <f>SUM(C20:C26)</f>
        <v>0</v>
      </c>
      <c r="D27" s="94">
        <f t="shared" ref="D27:I27" si="5">SUM(D20:D26)</f>
        <v>0</v>
      </c>
      <c r="E27" s="94">
        <f t="shared" si="5"/>
        <v>0</v>
      </c>
      <c r="F27" s="94">
        <f t="shared" si="5"/>
        <v>0</v>
      </c>
      <c r="G27" s="94">
        <f t="shared" si="5"/>
        <v>0</v>
      </c>
      <c r="H27" s="94">
        <f t="shared" si="5"/>
        <v>0</v>
      </c>
      <c r="I27" s="94">
        <f t="shared" si="5"/>
        <v>0</v>
      </c>
      <c r="N27" s="27"/>
      <c r="Y27" s="2" t="s">
        <v>176</v>
      </c>
      <c r="Z27" s="21" t="s">
        <v>388</v>
      </c>
      <c r="AA27" s="159" t="e">
        <f>C14/C34</f>
        <v>#DIV/0!</v>
      </c>
      <c r="AB27" s="159" t="e">
        <f t="shared" ref="AB27:AG27" si="6">D14/D34</f>
        <v>#DIV/0!</v>
      </c>
      <c r="AC27" s="159" t="e">
        <f t="shared" si="6"/>
        <v>#DIV/0!</v>
      </c>
      <c r="AD27" s="159" t="e">
        <f t="shared" si="6"/>
        <v>#DIV/0!</v>
      </c>
      <c r="AE27" s="159" t="e">
        <f t="shared" si="6"/>
        <v>#DIV/0!</v>
      </c>
      <c r="AF27" s="159" t="e">
        <f t="shared" si="6"/>
        <v>#DIV/0!</v>
      </c>
      <c r="AG27" s="159" t="e">
        <f t="shared" si="6"/>
        <v>#DIV/0!</v>
      </c>
      <c r="AH27" s="160" t="e">
        <f ca="1">OFFSET(Z27,,MATCH('KHG JALAJÄLG KOOND'!$Q$46,$AA$23:$AG$23,0))</f>
        <v>#DIV/0!</v>
      </c>
    </row>
    <row r="28" spans="2:34" x14ac:dyDescent="0.25">
      <c r="B28" s="174"/>
      <c r="I28" s="176"/>
      <c r="Y28" s="2"/>
      <c r="Z28" s="21" t="s">
        <v>389</v>
      </c>
      <c r="AA28" s="159" t="e">
        <f>C15/C34</f>
        <v>#DIV/0!</v>
      </c>
      <c r="AB28" s="159" t="e">
        <f t="shared" ref="AB28:AG28" si="7">D15/D34</f>
        <v>#DIV/0!</v>
      </c>
      <c r="AC28" s="159" t="e">
        <f t="shared" si="7"/>
        <v>#DIV/0!</v>
      </c>
      <c r="AD28" s="159" t="e">
        <f t="shared" si="7"/>
        <v>#DIV/0!</v>
      </c>
      <c r="AE28" s="159" t="e">
        <f t="shared" si="7"/>
        <v>#DIV/0!</v>
      </c>
      <c r="AF28" s="159" t="e">
        <f t="shared" si="7"/>
        <v>#DIV/0!</v>
      </c>
      <c r="AG28" s="159" t="e">
        <f t="shared" si="7"/>
        <v>#DIV/0!</v>
      </c>
      <c r="AH28" s="160" t="e">
        <f ca="1">OFFSET(Z28,,MATCH('KHG JALAJÄLG KOOND'!$Q$46,$AA$23:$AG$23,0))</f>
        <v>#DIV/0!</v>
      </c>
    </row>
    <row r="29" spans="2:34" ht="15.75" thickBot="1" x14ac:dyDescent="0.3">
      <c r="B29" s="174"/>
      <c r="I29" s="176"/>
      <c r="Y29" s="2"/>
      <c r="Z29" s="21" t="s">
        <v>390</v>
      </c>
      <c r="AA29" s="160" t="e">
        <f t="shared" ref="AA29:AG29" si="8">C16/C34</f>
        <v>#DIV/0!</v>
      </c>
      <c r="AB29" s="160" t="e">
        <f t="shared" si="8"/>
        <v>#DIV/0!</v>
      </c>
      <c r="AC29" s="160" t="e">
        <f t="shared" si="8"/>
        <v>#DIV/0!</v>
      </c>
      <c r="AD29" s="160" t="e">
        <f t="shared" si="8"/>
        <v>#DIV/0!</v>
      </c>
      <c r="AE29" s="160" t="e">
        <f t="shared" si="8"/>
        <v>#DIV/0!</v>
      </c>
      <c r="AF29" s="160" t="e">
        <f t="shared" si="8"/>
        <v>#DIV/0!</v>
      </c>
      <c r="AG29" s="160" t="e">
        <f t="shared" si="8"/>
        <v>#DIV/0!</v>
      </c>
      <c r="AH29" s="160" t="e">
        <f ca="1">OFFSET(Z29,,MATCH('KHG JALAJÄLG KOOND'!$Q$46,$AA$23:$AG$23,0))</f>
        <v>#DIV/0!</v>
      </c>
    </row>
    <row r="30" spans="2:34" ht="15.75" thickBot="1" x14ac:dyDescent="0.3">
      <c r="B30" s="178"/>
      <c r="C30" s="95">
        <f t="shared" ref="C30:I30" si="9">C13</f>
        <v>2022</v>
      </c>
      <c r="D30" s="95">
        <f t="shared" si="9"/>
        <v>2023</v>
      </c>
      <c r="E30" s="95">
        <f t="shared" si="9"/>
        <v>2024</v>
      </c>
      <c r="F30" s="95">
        <f t="shared" si="9"/>
        <v>2025</v>
      </c>
      <c r="G30" s="95">
        <f t="shared" si="9"/>
        <v>2026</v>
      </c>
      <c r="H30" s="95">
        <f t="shared" si="9"/>
        <v>2027</v>
      </c>
      <c r="I30" s="95">
        <f t="shared" si="9"/>
        <v>2028</v>
      </c>
      <c r="Y30" s="2"/>
      <c r="Z30" s="255" t="s">
        <v>177</v>
      </c>
      <c r="AA30" s="161" t="e">
        <f>AA27+AA28+AA29</f>
        <v>#DIV/0!</v>
      </c>
      <c r="AB30" s="161" t="e">
        <f t="shared" ref="AB30:AG30" si="10">AB27+AB28+AB29</f>
        <v>#DIV/0!</v>
      </c>
      <c r="AC30" s="161" t="e">
        <f t="shared" si="10"/>
        <v>#DIV/0!</v>
      </c>
      <c r="AD30" s="161" t="e">
        <f t="shared" si="10"/>
        <v>#DIV/0!</v>
      </c>
      <c r="AE30" s="161" t="e">
        <f t="shared" si="10"/>
        <v>#DIV/0!</v>
      </c>
      <c r="AF30" s="161" t="e">
        <f t="shared" si="10"/>
        <v>#DIV/0!</v>
      </c>
      <c r="AG30" s="161" t="e">
        <f t="shared" si="10"/>
        <v>#DIV/0!</v>
      </c>
      <c r="AH30" s="162" t="e">
        <f ca="1">OFFSET(Z30,,MATCH('KHG JALAJÄLG KOOND'!$Q$46,$AA$23:$AG$23,0))</f>
        <v>#DIV/0!</v>
      </c>
    </row>
    <row r="31" spans="2:34" ht="29.1" customHeight="1" x14ac:dyDescent="0.25">
      <c r="B31" s="473" t="s">
        <v>178</v>
      </c>
      <c r="C31" s="447">
        <f t="shared" ref="C31:I31" si="11">C11</f>
        <v>0</v>
      </c>
      <c r="D31" s="447">
        <f t="shared" si="11"/>
        <v>0</v>
      </c>
      <c r="E31" s="447">
        <f t="shared" si="11"/>
        <v>0</v>
      </c>
      <c r="F31" s="447">
        <f t="shared" si="11"/>
        <v>0</v>
      </c>
      <c r="G31" s="447">
        <f t="shared" si="11"/>
        <v>0</v>
      </c>
      <c r="H31" s="447">
        <f t="shared" si="11"/>
        <v>0</v>
      </c>
      <c r="I31" s="447">
        <f t="shared" si="11"/>
        <v>0</v>
      </c>
      <c r="Y31" s="2" t="s">
        <v>179</v>
      </c>
      <c r="Z31" s="21" t="s">
        <v>180</v>
      </c>
      <c r="AA31" s="160" t="e">
        <f>C20/C34</f>
        <v>#DIV/0!</v>
      </c>
      <c r="AB31" s="160" t="e">
        <f t="shared" ref="AB31:AG31" si="12">D20/D34</f>
        <v>#DIV/0!</v>
      </c>
      <c r="AC31" s="160" t="e">
        <f t="shared" si="12"/>
        <v>#DIV/0!</v>
      </c>
      <c r="AD31" s="160" t="e">
        <f t="shared" si="12"/>
        <v>#DIV/0!</v>
      </c>
      <c r="AE31" s="160" t="e">
        <f t="shared" si="12"/>
        <v>#DIV/0!</v>
      </c>
      <c r="AF31" s="160" t="e">
        <f t="shared" si="12"/>
        <v>#DIV/0!</v>
      </c>
      <c r="AG31" s="160" t="e">
        <f t="shared" si="12"/>
        <v>#DIV/0!</v>
      </c>
      <c r="AH31" s="160" t="e">
        <f ca="1">OFFSET(Z31,,MATCH('KHG JALAJÄLG KOOND'!$Q$46,$AA$23:$AG$23,0))</f>
        <v>#DIV/0!</v>
      </c>
    </row>
    <row r="32" spans="2:34" ht="29.1" customHeight="1" x14ac:dyDescent="0.25">
      <c r="B32" s="471" t="s">
        <v>181</v>
      </c>
      <c r="C32" s="472">
        <f t="shared" ref="C32:I32" si="13">C17</f>
        <v>0</v>
      </c>
      <c r="D32" s="472">
        <f t="shared" si="13"/>
        <v>0</v>
      </c>
      <c r="E32" s="472">
        <f t="shared" si="13"/>
        <v>0</v>
      </c>
      <c r="F32" s="472">
        <f t="shared" si="13"/>
        <v>0</v>
      </c>
      <c r="G32" s="472">
        <f t="shared" si="13"/>
        <v>0</v>
      </c>
      <c r="H32" s="472">
        <f t="shared" si="13"/>
        <v>0</v>
      </c>
      <c r="I32" s="472">
        <f t="shared" si="13"/>
        <v>0</v>
      </c>
      <c r="Y32" s="2"/>
      <c r="Z32" s="21" t="s">
        <v>165</v>
      </c>
      <c r="AA32" s="159" t="e">
        <f>C21/C34</f>
        <v>#DIV/0!</v>
      </c>
      <c r="AB32" s="159" t="e">
        <f t="shared" ref="AB32:AG32" si="14">D21/D34</f>
        <v>#DIV/0!</v>
      </c>
      <c r="AC32" s="159" t="e">
        <f t="shared" si="14"/>
        <v>#DIV/0!</v>
      </c>
      <c r="AD32" s="159" t="e">
        <f t="shared" si="14"/>
        <v>#DIV/0!</v>
      </c>
      <c r="AE32" s="159" t="e">
        <f t="shared" si="14"/>
        <v>#DIV/0!</v>
      </c>
      <c r="AF32" s="159" t="e">
        <f t="shared" si="14"/>
        <v>#DIV/0!</v>
      </c>
      <c r="AG32" s="159" t="e">
        <f t="shared" si="14"/>
        <v>#DIV/0!</v>
      </c>
      <c r="AH32" s="160" t="e">
        <f ca="1">OFFSET(Z32,,MATCH('KHG JALAJÄLG KOOND'!$Q$46,$AA$23:$AG$23,0))</f>
        <v>#DIV/0!</v>
      </c>
    </row>
    <row r="33" spans="2:34" ht="29.1" customHeight="1" thickBot="1" x14ac:dyDescent="0.3">
      <c r="B33" s="469" t="s">
        <v>182</v>
      </c>
      <c r="C33" s="470">
        <f>C27</f>
        <v>0</v>
      </c>
      <c r="D33" s="470">
        <f t="shared" ref="D33:I33" si="15">D27</f>
        <v>0</v>
      </c>
      <c r="E33" s="470">
        <f t="shared" si="15"/>
        <v>0</v>
      </c>
      <c r="F33" s="470">
        <f t="shared" si="15"/>
        <v>0</v>
      </c>
      <c r="G33" s="470">
        <f t="shared" si="15"/>
        <v>0</v>
      </c>
      <c r="H33" s="470">
        <f t="shared" si="15"/>
        <v>0</v>
      </c>
      <c r="I33" s="470">
        <f t="shared" si="15"/>
        <v>0</v>
      </c>
      <c r="Y33" s="2"/>
      <c r="Z33" s="21" t="s">
        <v>183</v>
      </c>
      <c r="AA33" s="159" t="e">
        <f>C22/C34</f>
        <v>#DIV/0!</v>
      </c>
      <c r="AB33" s="159" t="e">
        <f t="shared" ref="AB33:AG33" si="16">D22/D34</f>
        <v>#DIV/0!</v>
      </c>
      <c r="AC33" s="159" t="e">
        <f t="shared" si="16"/>
        <v>#DIV/0!</v>
      </c>
      <c r="AD33" s="159" t="e">
        <f t="shared" si="16"/>
        <v>#DIV/0!</v>
      </c>
      <c r="AE33" s="159" t="e">
        <f t="shared" si="16"/>
        <v>#DIV/0!</v>
      </c>
      <c r="AF33" s="159" t="e">
        <f t="shared" si="16"/>
        <v>#DIV/0!</v>
      </c>
      <c r="AG33" s="159" t="e">
        <f t="shared" si="16"/>
        <v>#DIV/0!</v>
      </c>
      <c r="AH33" s="160" t="e">
        <f ca="1">OFFSET(Z33,,MATCH('KHG JALAJÄLG KOOND'!$Q$46,$AA$23:$AG$23,0))</f>
        <v>#DIV/0!</v>
      </c>
    </row>
    <row r="34" spans="2:34" ht="29.1" customHeight="1" thickBot="1" x14ac:dyDescent="0.3">
      <c r="B34" s="474" t="s">
        <v>184</v>
      </c>
      <c r="C34" s="475">
        <f>SUM(C31:C33)</f>
        <v>0</v>
      </c>
      <c r="D34" s="475">
        <f t="shared" ref="D34:I34" si="17">SUM(D31:D33)</f>
        <v>0</v>
      </c>
      <c r="E34" s="475">
        <f t="shared" si="17"/>
        <v>0</v>
      </c>
      <c r="F34" s="475">
        <f t="shared" si="17"/>
        <v>0</v>
      </c>
      <c r="G34" s="475">
        <f t="shared" si="17"/>
        <v>0</v>
      </c>
      <c r="H34" s="475">
        <f t="shared" si="17"/>
        <v>0</v>
      </c>
      <c r="I34" s="475">
        <f t="shared" si="17"/>
        <v>0</v>
      </c>
      <c r="J34" s="157"/>
      <c r="Y34" s="2"/>
      <c r="Z34" s="21" t="s">
        <v>185</v>
      </c>
      <c r="AA34" s="159" t="e">
        <f>C23/C34</f>
        <v>#DIV/0!</v>
      </c>
      <c r="AB34" s="159" t="e">
        <f t="shared" ref="AB34:AG34" si="18">D23/D34</f>
        <v>#DIV/0!</v>
      </c>
      <c r="AC34" s="159" t="e">
        <f t="shared" si="18"/>
        <v>#DIV/0!</v>
      </c>
      <c r="AD34" s="159" t="e">
        <f t="shared" si="18"/>
        <v>#DIV/0!</v>
      </c>
      <c r="AE34" s="159" t="e">
        <f t="shared" si="18"/>
        <v>#DIV/0!</v>
      </c>
      <c r="AF34" s="159" t="e">
        <f t="shared" si="18"/>
        <v>#DIV/0!</v>
      </c>
      <c r="AG34" s="159" t="e">
        <f t="shared" si="18"/>
        <v>#DIV/0!</v>
      </c>
      <c r="AH34" s="160" t="e">
        <f ca="1">OFFSET(Z34,,MATCH('KHG JALAJÄLG KOOND'!$Q$46,$AA$23:$AG$23,0))</f>
        <v>#DIV/0!</v>
      </c>
    </row>
    <row r="35" spans="2:34" ht="15.75" thickBot="1" x14ac:dyDescent="0.3">
      <c r="B35" s="174"/>
      <c r="I35" s="176"/>
      <c r="Y35" s="160"/>
      <c r="Z35" s="21" t="s">
        <v>186</v>
      </c>
      <c r="AA35" s="160" t="e">
        <f>C24/C34</f>
        <v>#DIV/0!</v>
      </c>
      <c r="AB35" s="160" t="e">
        <f t="shared" ref="AB35:AG35" si="19">D24/D34</f>
        <v>#DIV/0!</v>
      </c>
      <c r="AC35" s="160" t="e">
        <f t="shared" si="19"/>
        <v>#DIV/0!</v>
      </c>
      <c r="AD35" s="160" t="e">
        <f t="shared" si="19"/>
        <v>#DIV/0!</v>
      </c>
      <c r="AE35" s="160" t="e">
        <f t="shared" si="19"/>
        <v>#DIV/0!</v>
      </c>
      <c r="AF35" s="160" t="e">
        <f t="shared" si="19"/>
        <v>#DIV/0!</v>
      </c>
      <c r="AG35" s="160" t="e">
        <f t="shared" si="19"/>
        <v>#DIV/0!</v>
      </c>
      <c r="AH35" s="160" t="e">
        <f ca="1">OFFSET(Z35,,MATCH('KHG JALAJÄLG KOOND'!$Q$46,$AA$23:$AG$23,0))</f>
        <v>#DIV/0!</v>
      </c>
    </row>
    <row r="36" spans="2:34" ht="15.75" thickBot="1" x14ac:dyDescent="0.3">
      <c r="B36" s="476" t="s">
        <v>362</v>
      </c>
      <c r="C36" s="475" t="e">
        <f>C34/b_2022</f>
        <v>#DIV/0!</v>
      </c>
      <c r="D36" s="475" t="e">
        <f>D34/b_2023</f>
        <v>#DIV/0!</v>
      </c>
      <c r="E36" s="475" t="e">
        <f>E34/b_2024</f>
        <v>#DIV/0!</v>
      </c>
      <c r="F36" s="475" t="e">
        <f>F34/b_2025</f>
        <v>#DIV/0!</v>
      </c>
      <c r="G36" s="475" t="e">
        <f>G34/b_2026</f>
        <v>#DIV/0!</v>
      </c>
      <c r="H36" s="475" t="e">
        <f>H34/b_2027</f>
        <v>#DIV/0!</v>
      </c>
      <c r="I36" s="475" t="e">
        <f>I34/b_2028</f>
        <v>#DIV/0!</v>
      </c>
      <c r="Y36" s="2"/>
      <c r="Z36" s="21" t="s">
        <v>187</v>
      </c>
      <c r="AA36" s="160" t="e">
        <f>C25/C34</f>
        <v>#DIV/0!</v>
      </c>
      <c r="AB36" s="160" t="e">
        <f t="shared" ref="AB36:AG36" si="20">D25/D34</f>
        <v>#DIV/0!</v>
      </c>
      <c r="AC36" s="160" t="e">
        <f t="shared" si="20"/>
        <v>#DIV/0!</v>
      </c>
      <c r="AD36" s="160" t="e">
        <f t="shared" si="20"/>
        <v>#DIV/0!</v>
      </c>
      <c r="AE36" s="160" t="e">
        <f t="shared" si="20"/>
        <v>#DIV/0!</v>
      </c>
      <c r="AF36" s="160" t="e">
        <f t="shared" si="20"/>
        <v>#DIV/0!</v>
      </c>
      <c r="AG36" s="160" t="e">
        <f t="shared" si="20"/>
        <v>#DIV/0!</v>
      </c>
      <c r="AH36" s="160" t="e">
        <f ca="1">OFFSET(Z36,,MATCH('KHG JALAJÄLG KOOND'!$Q$46,$AA$23:$AG$23,0))</f>
        <v>#DIV/0!</v>
      </c>
    </row>
    <row r="37" spans="2:34" x14ac:dyDescent="0.25">
      <c r="Y37" s="2"/>
      <c r="Z37" s="21" t="s">
        <v>188</v>
      </c>
      <c r="AA37" s="160" t="e">
        <f>C26/C34</f>
        <v>#DIV/0!</v>
      </c>
      <c r="AB37" s="160" t="e">
        <f t="shared" ref="AB37:AG37" si="21">D26/D34</f>
        <v>#DIV/0!</v>
      </c>
      <c r="AC37" s="160" t="e">
        <f t="shared" si="21"/>
        <v>#DIV/0!</v>
      </c>
      <c r="AD37" s="160" t="e">
        <f t="shared" si="21"/>
        <v>#DIV/0!</v>
      </c>
      <c r="AE37" s="160" t="e">
        <f t="shared" si="21"/>
        <v>#DIV/0!</v>
      </c>
      <c r="AF37" s="160" t="e">
        <f t="shared" si="21"/>
        <v>#DIV/0!</v>
      </c>
      <c r="AG37" s="160" t="e">
        <f t="shared" si="21"/>
        <v>#DIV/0!</v>
      </c>
      <c r="AH37" s="160" t="e">
        <f ca="1">OFFSET(Z37,,MATCH('KHG JALAJÄLG KOOND'!$Q$46,$AA$23:$AG$23,0))</f>
        <v>#DIV/0!</v>
      </c>
    </row>
    <row r="38" spans="2:34" x14ac:dyDescent="0.25">
      <c r="Y38" s="2"/>
      <c r="Z38" s="255" t="s">
        <v>189</v>
      </c>
      <c r="AA38" s="162" t="e">
        <f>SUM(AA31:AA37)</f>
        <v>#DIV/0!</v>
      </c>
      <c r="AB38" s="162" t="e">
        <f t="shared" ref="AB38:AF38" si="22">SUM(AB31:AB37)</f>
        <v>#DIV/0!</v>
      </c>
      <c r="AC38" s="162" t="e">
        <f t="shared" si="22"/>
        <v>#DIV/0!</v>
      </c>
      <c r="AD38" s="162" t="e">
        <f t="shared" si="22"/>
        <v>#DIV/0!</v>
      </c>
      <c r="AE38" s="162" t="e">
        <f t="shared" si="22"/>
        <v>#DIV/0!</v>
      </c>
      <c r="AF38" s="162" t="e">
        <f t="shared" si="22"/>
        <v>#DIV/0!</v>
      </c>
      <c r="AG38" s="162" t="e">
        <f>SUM(AG31:AG37)</f>
        <v>#DIV/0!</v>
      </c>
      <c r="AH38" s="162" t="e">
        <f ca="1">OFFSET(Z38,,MATCH('KHG JALAJÄLG KOOND'!$Q$46,$AA$23:$AG$23,0))</f>
        <v>#DIV/0!</v>
      </c>
    </row>
    <row r="39" spans="2:34" x14ac:dyDescent="0.25">
      <c r="Y39" s="2"/>
      <c r="Z39" s="21" t="s">
        <v>190</v>
      </c>
      <c r="AA39" s="159" t="e">
        <f>AA26+AA30+AA38</f>
        <v>#DIV/0!</v>
      </c>
      <c r="AB39" s="159" t="e">
        <f t="shared" ref="AB39:AG39" si="23">AB26+AB30+AB38</f>
        <v>#DIV/0!</v>
      </c>
      <c r="AC39" s="159" t="e">
        <f t="shared" si="23"/>
        <v>#DIV/0!</v>
      </c>
      <c r="AD39" s="159" t="e">
        <f t="shared" si="23"/>
        <v>#DIV/0!</v>
      </c>
      <c r="AE39" s="159" t="e">
        <f t="shared" si="23"/>
        <v>#DIV/0!</v>
      </c>
      <c r="AF39" s="159" t="e">
        <f t="shared" si="23"/>
        <v>#DIV/0!</v>
      </c>
      <c r="AG39" s="159" t="e">
        <f t="shared" si="23"/>
        <v>#DIV/0!</v>
      </c>
      <c r="AH39" s="2"/>
    </row>
    <row r="45" spans="2:34" ht="15.75" thickBot="1" x14ac:dyDescent="0.3"/>
    <row r="46" spans="2:34" ht="16.5" thickTop="1" thickBot="1" x14ac:dyDescent="0.3">
      <c r="O46" s="651" t="s">
        <v>191</v>
      </c>
      <c r="P46" s="652"/>
      <c r="Q46" s="96">
        <v>2023</v>
      </c>
    </row>
    <row r="47" spans="2:34" ht="15.75" thickTop="1" x14ac:dyDescent="0.25"/>
  </sheetData>
  <mergeCells count="2">
    <mergeCell ref="B4:I4"/>
    <mergeCell ref="O46:P46"/>
  </mergeCells>
  <dataValidations count="1">
    <dataValidation type="list" allowBlank="1" showInputMessage="1" showErrorMessage="1" sqref="Q46" xr:uid="{5FA1E2FE-2AFF-4AE1-B542-83853624FE2C}">
      <formula1>$AA$23:$AG$23</formula1>
    </dataValidation>
  </dataValidations>
  <hyperlinks>
    <hyperlink ref="B4:I4" r:id="rId1" display="https://kliimaministeerium.ee/organisatsioonide-khg-jalajalg" xr:uid="{0510DEC9-C1E6-47ED-A4FE-D7D713A898E8}"/>
  </hyperlinks>
  <pageMargins left="0.70866141732283472" right="0.70866141732283472" top="0.74803149606299213" bottom="0.74803149606299213" header="0.31496062992125984" footer="0.31496062992125984"/>
  <pageSetup paperSize="9" orientation="landscape" r:id="rId2"/>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9560-C03E-40DE-962C-F515CC9638C1}">
  <dimension ref="A2:H1048567"/>
  <sheetViews>
    <sheetView showGridLines="0" zoomScaleNormal="100" workbookViewId="0">
      <pane xSplit="1" ySplit="2" topLeftCell="B3" activePane="bottomRight" state="frozen"/>
      <selection pane="topRight" activeCell="B1" sqref="B1"/>
      <selection pane="bottomLeft" activeCell="A3" sqref="A3"/>
      <selection pane="bottomRight" activeCell="G349" sqref="G349"/>
    </sheetView>
  </sheetViews>
  <sheetFormatPr defaultRowHeight="15" customHeight="1" x14ac:dyDescent="0.25"/>
  <cols>
    <col min="1" max="1" width="2.5703125" customWidth="1"/>
    <col min="2" max="2" width="15" customWidth="1"/>
    <col min="3" max="3" width="61.42578125" customWidth="1"/>
    <col min="4" max="4" width="13.7109375" style="11" customWidth="1"/>
    <col min="5" max="5" width="20" bestFit="1" customWidth="1"/>
    <col min="6" max="6" width="139" customWidth="1"/>
  </cols>
  <sheetData>
    <row r="2" spans="1:6" ht="18.75" customHeight="1" x14ac:dyDescent="0.3">
      <c r="B2" s="26" t="s">
        <v>192</v>
      </c>
    </row>
    <row r="4" spans="1:6" ht="36.6" customHeight="1" x14ac:dyDescent="0.25">
      <c r="B4" s="635" t="s">
        <v>494</v>
      </c>
      <c r="C4" s="636"/>
      <c r="D4" s="636"/>
      <c r="E4" s="636"/>
      <c r="F4" s="637"/>
    </row>
    <row r="5" spans="1:6" ht="15" customHeight="1" x14ac:dyDescent="0.25">
      <c r="C5" s="282"/>
      <c r="D5" s="328"/>
      <c r="E5" s="282"/>
      <c r="F5" s="282"/>
    </row>
    <row r="6" spans="1:6" ht="15" customHeight="1" x14ac:dyDescent="0.25">
      <c r="B6" s="477" t="s">
        <v>193</v>
      </c>
      <c r="C6" s="478"/>
      <c r="E6" s="2"/>
      <c r="F6" s="2"/>
    </row>
    <row r="7" spans="1:6" ht="15" customHeight="1" x14ac:dyDescent="0.25">
      <c r="B7" s="480" t="s">
        <v>194</v>
      </c>
      <c r="C7" s="480" t="s">
        <v>195</v>
      </c>
      <c r="D7" s="481" t="s">
        <v>196</v>
      </c>
      <c r="E7" s="481" t="s">
        <v>197</v>
      </c>
      <c r="F7" s="482" t="s">
        <v>198</v>
      </c>
    </row>
    <row r="8" spans="1:6" ht="15" customHeight="1" x14ac:dyDescent="0.25">
      <c r="B8" s="285">
        <v>2022</v>
      </c>
      <c r="C8" s="284" t="s">
        <v>199</v>
      </c>
      <c r="D8" s="293">
        <v>0.63700000000000001</v>
      </c>
      <c r="E8" s="285" t="s">
        <v>200</v>
      </c>
      <c r="F8" s="287" t="s">
        <v>471</v>
      </c>
    </row>
    <row r="9" spans="1:6" ht="15" customHeight="1" x14ac:dyDescent="0.25">
      <c r="B9" s="285">
        <v>2023</v>
      </c>
      <c r="C9" s="284" t="s">
        <v>199</v>
      </c>
      <c r="D9" s="293">
        <v>0.71518000000000004</v>
      </c>
      <c r="E9" s="285" t="s">
        <v>200</v>
      </c>
      <c r="F9" s="287" t="s">
        <v>201</v>
      </c>
    </row>
    <row r="10" spans="1:6" ht="15" customHeight="1" x14ac:dyDescent="0.25">
      <c r="B10" s="285">
        <v>2024</v>
      </c>
      <c r="C10" s="284" t="s">
        <v>199</v>
      </c>
      <c r="D10" s="293">
        <v>0.71165999999999996</v>
      </c>
      <c r="E10" s="285" t="s">
        <v>200</v>
      </c>
      <c r="F10" s="287" t="s">
        <v>233</v>
      </c>
    </row>
    <row r="11" spans="1:6" ht="15" customHeight="1" x14ac:dyDescent="0.25">
      <c r="B11" s="285">
        <v>2025</v>
      </c>
      <c r="C11" s="284" t="s">
        <v>199</v>
      </c>
      <c r="D11" s="267"/>
      <c r="E11" s="285" t="s">
        <v>200</v>
      </c>
      <c r="F11" s="287" t="s">
        <v>397</v>
      </c>
    </row>
    <row r="12" spans="1:6" ht="15" customHeight="1" x14ac:dyDescent="0.25">
      <c r="B12" s="285">
        <v>2026</v>
      </c>
      <c r="C12" s="284" t="s">
        <v>199</v>
      </c>
      <c r="D12" s="267"/>
      <c r="E12" s="285" t="s">
        <v>200</v>
      </c>
      <c r="F12" s="287" t="s">
        <v>397</v>
      </c>
    </row>
    <row r="13" spans="1:6" ht="15" customHeight="1" x14ac:dyDescent="0.25">
      <c r="B13" s="285">
        <v>2027</v>
      </c>
      <c r="C13" s="284" t="s">
        <v>199</v>
      </c>
      <c r="D13" s="267"/>
      <c r="E13" s="285" t="s">
        <v>200</v>
      </c>
      <c r="F13" s="287" t="s">
        <v>397</v>
      </c>
    </row>
    <row r="14" spans="1:6" s="62" customFormat="1" ht="15" customHeight="1" x14ac:dyDescent="0.25">
      <c r="A14" s="61"/>
      <c r="B14" s="285">
        <v>2028</v>
      </c>
      <c r="C14" s="284" t="s">
        <v>199</v>
      </c>
      <c r="D14" s="267"/>
      <c r="E14" s="285" t="s">
        <v>200</v>
      </c>
      <c r="F14" s="287" t="s">
        <v>397</v>
      </c>
    </row>
    <row r="15" spans="1:6" ht="15" customHeight="1" x14ac:dyDescent="0.25">
      <c r="B15" s="288"/>
      <c r="C15" s="288"/>
      <c r="E15" s="2"/>
      <c r="F15" s="2"/>
    </row>
    <row r="16" spans="1:6" ht="15" customHeight="1" x14ac:dyDescent="0.25">
      <c r="B16" s="289"/>
      <c r="C16" s="289"/>
      <c r="D16" s="290"/>
      <c r="E16" s="291"/>
      <c r="F16" s="292"/>
    </row>
    <row r="17" spans="2:6" ht="15" customHeight="1" x14ac:dyDescent="0.25">
      <c r="B17" s="477" t="s">
        <v>202</v>
      </c>
      <c r="C17" s="478"/>
      <c r="E17" s="2"/>
      <c r="F17" s="2"/>
    </row>
    <row r="18" spans="2:6" ht="15" customHeight="1" x14ac:dyDescent="0.25">
      <c r="B18" s="480" t="s">
        <v>194</v>
      </c>
      <c r="C18" s="480" t="s">
        <v>203</v>
      </c>
      <c r="D18" s="481" t="s">
        <v>196</v>
      </c>
      <c r="E18" s="481" t="s">
        <v>197</v>
      </c>
      <c r="F18" s="482" t="s">
        <v>198</v>
      </c>
    </row>
    <row r="19" spans="2:6" ht="15" customHeight="1" x14ac:dyDescent="0.25">
      <c r="B19" s="285">
        <v>2022</v>
      </c>
      <c r="C19" s="285" t="s">
        <v>204</v>
      </c>
      <c r="D19" s="293">
        <v>8.7999999999999995E-2</v>
      </c>
      <c r="E19" s="285" t="s">
        <v>205</v>
      </c>
      <c r="F19" s="286" t="s">
        <v>472</v>
      </c>
    </row>
    <row r="20" spans="2:6" ht="15" customHeight="1" x14ac:dyDescent="0.25">
      <c r="B20" s="285">
        <v>2023</v>
      </c>
      <c r="C20" s="285" t="s">
        <v>204</v>
      </c>
      <c r="D20" s="293">
        <v>8.6999999999999994E-2</v>
      </c>
      <c r="E20" s="285" t="s">
        <v>205</v>
      </c>
      <c r="F20" s="286" t="s">
        <v>473</v>
      </c>
    </row>
    <row r="21" spans="2:6" ht="15" customHeight="1" x14ac:dyDescent="0.25">
      <c r="B21" s="285">
        <v>2024</v>
      </c>
      <c r="C21" s="285" t="s">
        <v>204</v>
      </c>
      <c r="D21" s="293">
        <v>8.1000000000000003E-2</v>
      </c>
      <c r="E21" s="285" t="s">
        <v>205</v>
      </c>
      <c r="F21" s="286" t="s">
        <v>474</v>
      </c>
    </row>
    <row r="22" spans="2:6" ht="15" customHeight="1" x14ac:dyDescent="0.25">
      <c r="B22" s="285">
        <v>2025</v>
      </c>
      <c r="C22" s="285" t="s">
        <v>204</v>
      </c>
      <c r="D22" s="293"/>
      <c r="E22" s="285" t="s">
        <v>205</v>
      </c>
      <c r="F22" s="286" t="s">
        <v>206</v>
      </c>
    </row>
    <row r="23" spans="2:6" ht="15" customHeight="1" x14ac:dyDescent="0.25">
      <c r="B23" s="285">
        <v>2026</v>
      </c>
      <c r="C23" s="285" t="s">
        <v>204</v>
      </c>
      <c r="D23" s="293"/>
      <c r="E23" s="285" t="s">
        <v>205</v>
      </c>
      <c r="F23" s="286" t="s">
        <v>206</v>
      </c>
    </row>
    <row r="24" spans="2:6" ht="15" customHeight="1" x14ac:dyDescent="0.25">
      <c r="B24" s="285">
        <v>2027</v>
      </c>
      <c r="C24" s="285" t="s">
        <v>204</v>
      </c>
      <c r="D24" s="293"/>
      <c r="E24" s="285" t="s">
        <v>205</v>
      </c>
      <c r="F24" s="286" t="s">
        <v>206</v>
      </c>
    </row>
    <row r="25" spans="2:6" ht="15" customHeight="1" x14ac:dyDescent="0.25">
      <c r="B25" s="285">
        <v>2028</v>
      </c>
      <c r="C25" s="285" t="s">
        <v>204</v>
      </c>
      <c r="D25" s="293"/>
      <c r="E25" s="285" t="s">
        <v>205</v>
      </c>
      <c r="F25" s="286" t="s">
        <v>206</v>
      </c>
    </row>
    <row r="26" spans="2:6" ht="15" customHeight="1" x14ac:dyDescent="0.25">
      <c r="B26" s="292"/>
      <c r="C26" s="292"/>
      <c r="E26" s="2"/>
      <c r="F26" s="2"/>
    </row>
    <row r="27" spans="2:6" ht="15" customHeight="1" x14ac:dyDescent="0.25">
      <c r="B27" s="480" t="s">
        <v>194</v>
      </c>
      <c r="C27" s="480" t="s">
        <v>207</v>
      </c>
      <c r="D27" s="481" t="s">
        <v>196</v>
      </c>
      <c r="E27" s="481" t="s">
        <v>197</v>
      </c>
      <c r="F27" s="482" t="s">
        <v>198</v>
      </c>
    </row>
    <row r="28" spans="2:6" ht="15" customHeight="1" x14ac:dyDescent="0.25">
      <c r="B28" s="283">
        <v>2022</v>
      </c>
      <c r="C28" s="283" t="s">
        <v>208</v>
      </c>
      <c r="D28" s="294">
        <v>5.7000000000000002E-2</v>
      </c>
      <c r="E28" s="286" t="s">
        <v>200</v>
      </c>
      <c r="F28" s="286" t="s">
        <v>475</v>
      </c>
    </row>
    <row r="29" spans="2:6" ht="15" customHeight="1" x14ac:dyDescent="0.25">
      <c r="B29" s="175">
        <v>2023</v>
      </c>
      <c r="C29" s="283" t="s">
        <v>208</v>
      </c>
      <c r="D29" s="294">
        <v>0.03</v>
      </c>
      <c r="E29" s="286" t="s">
        <v>200</v>
      </c>
      <c r="F29" s="286" t="s">
        <v>476</v>
      </c>
    </row>
    <row r="30" spans="2:6" ht="15" customHeight="1" x14ac:dyDescent="0.25">
      <c r="B30" s="283">
        <v>2024</v>
      </c>
      <c r="C30" s="283" t="s">
        <v>208</v>
      </c>
      <c r="D30" s="294">
        <v>2.1999999999999999E-2</v>
      </c>
      <c r="E30" s="286" t="s">
        <v>200</v>
      </c>
      <c r="F30" s="286" t="s">
        <v>477</v>
      </c>
    </row>
    <row r="31" spans="2:6" ht="15" customHeight="1" x14ac:dyDescent="0.25">
      <c r="B31" s="175">
        <v>2025</v>
      </c>
      <c r="C31" s="283" t="s">
        <v>208</v>
      </c>
      <c r="D31" s="294"/>
      <c r="E31" s="286" t="s">
        <v>200</v>
      </c>
      <c r="F31" s="287" t="s">
        <v>209</v>
      </c>
    </row>
    <row r="32" spans="2:6" ht="15" customHeight="1" x14ac:dyDescent="0.25">
      <c r="B32" s="283">
        <v>2026</v>
      </c>
      <c r="C32" s="283" t="s">
        <v>208</v>
      </c>
      <c r="D32" s="294"/>
      <c r="E32" s="286" t="s">
        <v>200</v>
      </c>
      <c r="F32" s="287" t="s">
        <v>209</v>
      </c>
    </row>
    <row r="33" spans="2:6" ht="15" customHeight="1" x14ac:dyDescent="0.25">
      <c r="B33" s="175">
        <v>2027</v>
      </c>
      <c r="C33" s="283" t="s">
        <v>208</v>
      </c>
      <c r="D33" s="294"/>
      <c r="E33" s="286" t="s">
        <v>200</v>
      </c>
      <c r="F33" s="287" t="s">
        <v>209</v>
      </c>
    </row>
    <row r="34" spans="2:6" ht="15" customHeight="1" x14ac:dyDescent="0.25">
      <c r="B34" s="283">
        <v>2028</v>
      </c>
      <c r="C34" s="283" t="s">
        <v>208</v>
      </c>
      <c r="D34" s="294"/>
      <c r="E34" s="286" t="s">
        <v>200</v>
      </c>
      <c r="F34" s="287" t="s">
        <v>209</v>
      </c>
    </row>
    <row r="35" spans="2:6" ht="15" customHeight="1" x14ac:dyDescent="0.25">
      <c r="B35" s="2"/>
      <c r="C35" s="2"/>
      <c r="E35" s="2"/>
      <c r="F35" s="2"/>
    </row>
    <row r="36" spans="2:6" ht="15" customHeight="1" x14ac:dyDescent="0.25">
      <c r="B36" s="480" t="s">
        <v>194</v>
      </c>
      <c r="C36" s="480" t="s">
        <v>210</v>
      </c>
      <c r="D36" s="481" t="s">
        <v>196</v>
      </c>
      <c r="E36" s="481" t="s">
        <v>197</v>
      </c>
      <c r="F36" s="482" t="s">
        <v>198</v>
      </c>
    </row>
    <row r="37" spans="2:6" ht="15" customHeight="1" x14ac:dyDescent="0.25">
      <c r="B37" s="283">
        <v>2022</v>
      </c>
      <c r="C37" s="283" t="s">
        <v>211</v>
      </c>
      <c r="D37" s="294">
        <v>0.03</v>
      </c>
      <c r="E37" s="286" t="s">
        <v>200</v>
      </c>
      <c r="F37" s="286" t="s">
        <v>475</v>
      </c>
    </row>
    <row r="38" spans="2:6" ht="15" customHeight="1" x14ac:dyDescent="0.25">
      <c r="B38" s="175">
        <v>2023</v>
      </c>
      <c r="C38" s="283" t="s">
        <v>211</v>
      </c>
      <c r="D38" s="294">
        <v>1.8489999999999999E-2</v>
      </c>
      <c r="E38" s="286" t="s">
        <v>200</v>
      </c>
      <c r="F38" s="286" t="s">
        <v>476</v>
      </c>
    </row>
    <row r="39" spans="2:6" ht="15" customHeight="1" x14ac:dyDescent="0.25">
      <c r="B39" s="283">
        <v>2024</v>
      </c>
      <c r="C39" s="283" t="s">
        <v>211</v>
      </c>
      <c r="D39" s="294">
        <v>1.093E-2</v>
      </c>
      <c r="E39" s="286" t="s">
        <v>200</v>
      </c>
      <c r="F39" s="286" t="s">
        <v>477</v>
      </c>
    </row>
    <row r="40" spans="2:6" ht="15" customHeight="1" x14ac:dyDescent="0.25">
      <c r="B40" s="175">
        <v>2025</v>
      </c>
      <c r="C40" s="283" t="s">
        <v>211</v>
      </c>
      <c r="D40" s="294"/>
      <c r="E40" s="286" t="s">
        <v>200</v>
      </c>
      <c r="F40" s="287" t="s">
        <v>209</v>
      </c>
    </row>
    <row r="41" spans="2:6" ht="15" customHeight="1" x14ac:dyDescent="0.25">
      <c r="B41" s="283">
        <v>2026</v>
      </c>
      <c r="C41" s="283" t="s">
        <v>211</v>
      </c>
      <c r="D41" s="294"/>
      <c r="E41" s="286" t="s">
        <v>200</v>
      </c>
      <c r="F41" s="287" t="s">
        <v>209</v>
      </c>
    </row>
    <row r="42" spans="2:6" ht="15" customHeight="1" x14ac:dyDescent="0.25">
      <c r="B42" s="175">
        <v>2027</v>
      </c>
      <c r="C42" s="283" t="s">
        <v>211</v>
      </c>
      <c r="D42" s="294"/>
      <c r="E42" s="286" t="s">
        <v>200</v>
      </c>
      <c r="F42" s="287" t="s">
        <v>209</v>
      </c>
    </row>
    <row r="43" spans="2:6" ht="15" customHeight="1" x14ac:dyDescent="0.25">
      <c r="B43" s="283">
        <v>2028</v>
      </c>
      <c r="C43" s="283" t="s">
        <v>211</v>
      </c>
      <c r="D43" s="294"/>
      <c r="E43" s="286" t="s">
        <v>200</v>
      </c>
      <c r="F43" s="287" t="s">
        <v>209</v>
      </c>
    </row>
    <row r="44" spans="2:6" ht="15" customHeight="1" x14ac:dyDescent="0.25">
      <c r="B44" s="2"/>
      <c r="C44" s="2"/>
      <c r="E44" s="2"/>
      <c r="F44" s="2"/>
    </row>
    <row r="45" spans="2:6" ht="15" customHeight="1" x14ac:dyDescent="0.25">
      <c r="B45" s="480" t="s">
        <v>194</v>
      </c>
      <c r="C45" s="480" t="s">
        <v>212</v>
      </c>
      <c r="D45" s="481" t="s">
        <v>196</v>
      </c>
      <c r="E45" s="483" t="s">
        <v>197</v>
      </c>
      <c r="F45" s="482" t="s">
        <v>198</v>
      </c>
    </row>
    <row r="46" spans="2:6" ht="15" customHeight="1" x14ac:dyDescent="0.25">
      <c r="B46" s="285">
        <v>2022</v>
      </c>
      <c r="C46" s="285" t="s">
        <v>213</v>
      </c>
      <c r="D46" s="295">
        <v>2.8146399647099602E-4</v>
      </c>
      <c r="E46" s="285" t="s">
        <v>205</v>
      </c>
      <c r="F46" s="286" t="s">
        <v>478</v>
      </c>
    </row>
    <row r="47" spans="2:6" ht="15" customHeight="1" x14ac:dyDescent="0.25">
      <c r="B47" s="285">
        <v>2023</v>
      </c>
      <c r="C47" s="285" t="s">
        <v>213</v>
      </c>
      <c r="D47" s="295">
        <v>2.5704079089388119E-4</v>
      </c>
      <c r="E47" s="285" t="s">
        <v>205</v>
      </c>
      <c r="F47" s="286" t="s">
        <v>401</v>
      </c>
    </row>
    <row r="48" spans="2:6" ht="15" customHeight="1" x14ac:dyDescent="0.25">
      <c r="B48" s="285">
        <v>2024</v>
      </c>
      <c r="C48" s="285" t="s">
        <v>213</v>
      </c>
      <c r="D48" s="295">
        <v>2.313367118044931E-4</v>
      </c>
      <c r="E48" s="285" t="s">
        <v>205</v>
      </c>
      <c r="F48" s="286" t="s">
        <v>399</v>
      </c>
    </row>
    <row r="49" spans="1:8" ht="15" customHeight="1" x14ac:dyDescent="0.25">
      <c r="B49" s="285">
        <v>2025</v>
      </c>
      <c r="C49" s="285" t="s">
        <v>213</v>
      </c>
      <c r="D49" s="267"/>
      <c r="E49" s="285" t="s">
        <v>205</v>
      </c>
      <c r="F49" s="286" t="s">
        <v>402</v>
      </c>
    </row>
    <row r="50" spans="1:8" ht="15" customHeight="1" x14ac:dyDescent="0.25">
      <c r="B50" s="285">
        <v>2026</v>
      </c>
      <c r="C50" s="285" t="s">
        <v>213</v>
      </c>
      <c r="D50" s="267"/>
      <c r="E50" s="285" t="s">
        <v>205</v>
      </c>
      <c r="F50" s="286" t="s">
        <v>403</v>
      </c>
    </row>
    <row r="51" spans="1:8" ht="15" customHeight="1" x14ac:dyDescent="0.25">
      <c r="B51" s="285">
        <v>2027</v>
      </c>
      <c r="C51" s="285" t="s">
        <v>213</v>
      </c>
      <c r="D51" s="267"/>
      <c r="E51" s="285" t="s">
        <v>205</v>
      </c>
      <c r="F51" s="286" t="s">
        <v>404</v>
      </c>
    </row>
    <row r="52" spans="1:8" s="62" customFormat="1" ht="15" customHeight="1" x14ac:dyDescent="0.25">
      <c r="A52" s="61"/>
      <c r="B52" s="285">
        <v>2028</v>
      </c>
      <c r="C52" s="285" t="s">
        <v>213</v>
      </c>
      <c r="D52" s="329"/>
      <c r="E52" s="285" t="s">
        <v>205</v>
      </c>
      <c r="F52" s="286" t="s">
        <v>400</v>
      </c>
      <c r="G52" s="127"/>
      <c r="H52" s="127"/>
    </row>
    <row r="53" spans="1:8" ht="15" customHeight="1" x14ac:dyDescent="0.25">
      <c r="B53" s="285">
        <v>2022</v>
      </c>
      <c r="C53" s="283" t="s">
        <v>214</v>
      </c>
      <c r="D53" s="293">
        <v>0.42696158853270066</v>
      </c>
      <c r="E53" s="285" t="s">
        <v>205</v>
      </c>
      <c r="F53" s="286" t="s">
        <v>478</v>
      </c>
    </row>
    <row r="54" spans="1:8" ht="15" customHeight="1" x14ac:dyDescent="0.25">
      <c r="B54" s="285">
        <v>2023</v>
      </c>
      <c r="C54" s="285" t="s">
        <v>214</v>
      </c>
      <c r="D54" s="293">
        <v>0.47999087624079784</v>
      </c>
      <c r="E54" s="285" t="s">
        <v>205</v>
      </c>
      <c r="F54" s="286" t="s">
        <v>401</v>
      </c>
    </row>
    <row r="55" spans="1:8" ht="15" customHeight="1" x14ac:dyDescent="0.25">
      <c r="B55" s="285">
        <v>2024</v>
      </c>
      <c r="C55" s="285" t="s">
        <v>214</v>
      </c>
      <c r="D55" s="293">
        <v>0.38399270099263827</v>
      </c>
      <c r="E55" s="285" t="s">
        <v>205</v>
      </c>
      <c r="F55" s="286" t="s">
        <v>399</v>
      </c>
    </row>
    <row r="56" spans="1:8" ht="15" customHeight="1" x14ac:dyDescent="0.25">
      <c r="B56" s="285">
        <v>2025</v>
      </c>
      <c r="C56" s="285" t="s">
        <v>214</v>
      </c>
      <c r="D56" s="267"/>
      <c r="E56" s="285" t="s">
        <v>205</v>
      </c>
      <c r="F56" s="286" t="s">
        <v>402</v>
      </c>
    </row>
    <row r="57" spans="1:8" ht="15" customHeight="1" x14ac:dyDescent="0.25">
      <c r="B57" s="285">
        <v>2026</v>
      </c>
      <c r="C57" s="285" t="s">
        <v>214</v>
      </c>
      <c r="D57" s="267"/>
      <c r="E57" s="285" t="s">
        <v>205</v>
      </c>
      <c r="F57" s="286" t="s">
        <v>403</v>
      </c>
    </row>
    <row r="58" spans="1:8" ht="15" customHeight="1" x14ac:dyDescent="0.25">
      <c r="B58" s="285">
        <v>2027</v>
      </c>
      <c r="C58" s="285" t="s">
        <v>214</v>
      </c>
      <c r="D58" s="267"/>
      <c r="E58" s="285" t="s">
        <v>205</v>
      </c>
      <c r="F58" s="286" t="s">
        <v>404</v>
      </c>
    </row>
    <row r="59" spans="1:8" ht="15" customHeight="1" x14ac:dyDescent="0.25">
      <c r="B59" s="285">
        <v>2028</v>
      </c>
      <c r="C59" s="285" t="s">
        <v>214</v>
      </c>
      <c r="D59" s="267"/>
      <c r="E59" s="285" t="s">
        <v>205</v>
      </c>
      <c r="F59" s="286" t="s">
        <v>400</v>
      </c>
    </row>
    <row r="60" spans="1:8" ht="15" customHeight="1" x14ac:dyDescent="0.25">
      <c r="B60" s="285">
        <v>2022</v>
      </c>
      <c r="C60" s="286" t="s">
        <v>455</v>
      </c>
      <c r="D60" s="293">
        <v>0.29693319546890901</v>
      </c>
      <c r="E60" s="285" t="s">
        <v>205</v>
      </c>
      <c r="F60" s="286" t="s">
        <v>478</v>
      </c>
    </row>
    <row r="61" spans="1:8" ht="15" customHeight="1" x14ac:dyDescent="0.25">
      <c r="B61" s="285">
        <v>2023</v>
      </c>
      <c r="C61" s="286" t="s">
        <v>455</v>
      </c>
      <c r="D61" s="293">
        <v>0.29605449911698789</v>
      </c>
      <c r="E61" s="285" t="s">
        <v>205</v>
      </c>
      <c r="F61" s="286" t="s">
        <v>401</v>
      </c>
    </row>
    <row r="62" spans="1:8" ht="15" customHeight="1" x14ac:dyDescent="0.25">
      <c r="B62" s="285">
        <v>2024</v>
      </c>
      <c r="C62" s="286" t="s">
        <v>455</v>
      </c>
      <c r="D62" s="293">
        <v>0.26644904920528911</v>
      </c>
      <c r="E62" s="285" t="s">
        <v>205</v>
      </c>
      <c r="F62" s="286" t="s">
        <v>399</v>
      </c>
    </row>
    <row r="63" spans="1:8" ht="15" customHeight="1" x14ac:dyDescent="0.25">
      <c r="B63" s="285">
        <v>2025</v>
      </c>
      <c r="C63" s="286" t="s">
        <v>455</v>
      </c>
      <c r="D63" s="267"/>
      <c r="E63" s="285" t="s">
        <v>205</v>
      </c>
      <c r="F63" s="286" t="s">
        <v>402</v>
      </c>
    </row>
    <row r="64" spans="1:8" ht="15" customHeight="1" x14ac:dyDescent="0.25">
      <c r="B64" s="285">
        <v>2026</v>
      </c>
      <c r="C64" s="286" t="s">
        <v>455</v>
      </c>
      <c r="D64" s="267"/>
      <c r="E64" s="285" t="s">
        <v>205</v>
      </c>
      <c r="F64" s="286" t="s">
        <v>403</v>
      </c>
    </row>
    <row r="65" spans="1:8" ht="15" customHeight="1" x14ac:dyDescent="0.25">
      <c r="B65" s="285">
        <v>2027</v>
      </c>
      <c r="C65" s="286" t="s">
        <v>455</v>
      </c>
      <c r="D65" s="267"/>
      <c r="E65" s="285" t="s">
        <v>205</v>
      </c>
      <c r="F65" s="286" t="s">
        <v>404</v>
      </c>
    </row>
    <row r="66" spans="1:8" ht="15" customHeight="1" x14ac:dyDescent="0.25">
      <c r="B66" s="285">
        <v>2028</v>
      </c>
      <c r="C66" s="286" t="s">
        <v>455</v>
      </c>
      <c r="D66" s="267"/>
      <c r="E66" s="285" t="s">
        <v>205</v>
      </c>
      <c r="F66" s="286" t="s">
        <v>400</v>
      </c>
    </row>
    <row r="67" spans="1:8" ht="15" customHeight="1" x14ac:dyDescent="0.25">
      <c r="B67" s="285">
        <v>2022</v>
      </c>
      <c r="C67" s="285" t="s">
        <v>216</v>
      </c>
      <c r="D67" s="293">
        <v>0.221169256516248</v>
      </c>
      <c r="E67" s="285" t="s">
        <v>205</v>
      </c>
      <c r="F67" s="286" t="s">
        <v>478</v>
      </c>
    </row>
    <row r="68" spans="1:8" ht="15" customHeight="1" x14ac:dyDescent="0.25">
      <c r="B68" s="285">
        <v>2023</v>
      </c>
      <c r="C68" s="285" t="s">
        <v>216</v>
      </c>
      <c r="D68" s="293">
        <v>0.22115352466220675</v>
      </c>
      <c r="E68" s="285" t="s">
        <v>205</v>
      </c>
      <c r="F68" s="286" t="s">
        <v>401</v>
      </c>
    </row>
    <row r="69" spans="1:8" ht="15" customHeight="1" x14ac:dyDescent="0.25">
      <c r="B69" s="285">
        <v>2024</v>
      </c>
      <c r="C69" s="285" t="s">
        <v>216</v>
      </c>
      <c r="D69" s="293">
        <v>0.19903817219598607</v>
      </c>
      <c r="E69" s="285" t="s">
        <v>205</v>
      </c>
      <c r="F69" s="286" t="s">
        <v>399</v>
      </c>
    </row>
    <row r="70" spans="1:8" ht="15" customHeight="1" x14ac:dyDescent="0.25">
      <c r="B70" s="285">
        <v>2025</v>
      </c>
      <c r="C70" s="285" t="s">
        <v>216</v>
      </c>
      <c r="D70" s="267"/>
      <c r="E70" s="285" t="s">
        <v>205</v>
      </c>
      <c r="F70" s="286" t="s">
        <v>402</v>
      </c>
    </row>
    <row r="71" spans="1:8" ht="15" customHeight="1" x14ac:dyDescent="0.25">
      <c r="B71" s="285">
        <v>2026</v>
      </c>
      <c r="C71" s="285" t="s">
        <v>216</v>
      </c>
      <c r="D71" s="267"/>
      <c r="E71" s="285" t="s">
        <v>205</v>
      </c>
      <c r="F71" s="286" t="s">
        <v>403</v>
      </c>
    </row>
    <row r="72" spans="1:8" ht="15" customHeight="1" x14ac:dyDescent="0.25">
      <c r="B72" s="285">
        <v>2027</v>
      </c>
      <c r="C72" s="285" t="s">
        <v>216</v>
      </c>
      <c r="D72" s="267"/>
      <c r="E72" s="285" t="s">
        <v>205</v>
      </c>
      <c r="F72" s="286" t="s">
        <v>404</v>
      </c>
    </row>
    <row r="73" spans="1:8" ht="15" customHeight="1" x14ac:dyDescent="0.25">
      <c r="B73" s="285">
        <v>2028</v>
      </c>
      <c r="C73" s="285" t="s">
        <v>216</v>
      </c>
      <c r="D73" s="267"/>
      <c r="E73" s="285" t="s">
        <v>205</v>
      </c>
      <c r="F73" s="286" t="s">
        <v>400</v>
      </c>
    </row>
    <row r="74" spans="1:8" ht="15" customHeight="1" x14ac:dyDescent="0.25">
      <c r="B74" s="285">
        <v>2022</v>
      </c>
      <c r="C74" s="286" t="s">
        <v>456</v>
      </c>
      <c r="D74" s="293">
        <v>0.30967320468878201</v>
      </c>
      <c r="E74" s="285" t="s">
        <v>205</v>
      </c>
      <c r="F74" s="286" t="s">
        <v>478</v>
      </c>
    </row>
    <row r="75" spans="1:8" s="133" customFormat="1" ht="15" customHeight="1" x14ac:dyDescent="0.25">
      <c r="A75" s="61"/>
      <c r="B75" s="285">
        <v>2023</v>
      </c>
      <c r="C75" s="286" t="s">
        <v>456</v>
      </c>
      <c r="D75" s="293">
        <v>0.3096504093399467</v>
      </c>
      <c r="E75" s="285" t="s">
        <v>205</v>
      </c>
      <c r="F75" s="286" t="s">
        <v>401</v>
      </c>
      <c r="G75" s="62"/>
      <c r="H75" s="62"/>
    </row>
    <row r="76" spans="1:8" ht="15" customHeight="1" x14ac:dyDescent="0.25">
      <c r="B76" s="285">
        <v>2024</v>
      </c>
      <c r="C76" s="286" t="s">
        <v>456</v>
      </c>
      <c r="D76" s="293">
        <v>0.27868536840595204</v>
      </c>
      <c r="E76" s="285" t="s">
        <v>205</v>
      </c>
      <c r="F76" s="286" t="s">
        <v>399</v>
      </c>
      <c r="H76" s="16"/>
    </row>
    <row r="77" spans="1:8" ht="15" customHeight="1" x14ac:dyDescent="0.25">
      <c r="B77" s="285">
        <v>2025</v>
      </c>
      <c r="C77" s="286" t="s">
        <v>456</v>
      </c>
      <c r="D77" s="267"/>
      <c r="E77" s="285" t="s">
        <v>205</v>
      </c>
      <c r="F77" s="286" t="s">
        <v>402</v>
      </c>
      <c r="H77" s="16"/>
    </row>
    <row r="78" spans="1:8" ht="15" customHeight="1" x14ac:dyDescent="0.25">
      <c r="B78" s="285">
        <v>2026</v>
      </c>
      <c r="C78" s="286" t="s">
        <v>456</v>
      </c>
      <c r="D78" s="267"/>
      <c r="E78" s="285" t="s">
        <v>205</v>
      </c>
      <c r="F78" s="286" t="s">
        <v>403</v>
      </c>
    </row>
    <row r="79" spans="1:8" ht="15" customHeight="1" x14ac:dyDescent="0.25">
      <c r="B79" s="285">
        <v>2027</v>
      </c>
      <c r="C79" s="286" t="s">
        <v>456</v>
      </c>
      <c r="D79" s="267"/>
      <c r="E79" s="285" t="s">
        <v>205</v>
      </c>
      <c r="F79" s="286" t="s">
        <v>404</v>
      </c>
    </row>
    <row r="80" spans="1:8" ht="15" customHeight="1" x14ac:dyDescent="0.25">
      <c r="B80" s="285">
        <v>2028</v>
      </c>
      <c r="C80" s="286" t="s">
        <v>456</v>
      </c>
      <c r="D80" s="267"/>
      <c r="E80" s="285" t="s">
        <v>205</v>
      </c>
      <c r="F80" s="286" t="s">
        <v>400</v>
      </c>
    </row>
    <row r="83" spans="2:6" ht="15" customHeight="1" x14ac:dyDescent="0.25">
      <c r="B83" s="477" t="s">
        <v>218</v>
      </c>
      <c r="C83" s="478"/>
      <c r="E83" s="2"/>
      <c r="F83" s="2"/>
    </row>
    <row r="84" spans="2:6" ht="15" customHeight="1" x14ac:dyDescent="0.25">
      <c r="B84" s="480" t="s">
        <v>194</v>
      </c>
      <c r="C84" s="480" t="s">
        <v>219</v>
      </c>
      <c r="D84" s="481" t="s">
        <v>196</v>
      </c>
      <c r="E84" s="481" t="s">
        <v>197</v>
      </c>
      <c r="F84" s="484" t="s">
        <v>198</v>
      </c>
    </row>
    <row r="85" spans="2:6" ht="15" customHeight="1" x14ac:dyDescent="0.25">
      <c r="B85" s="285">
        <v>2022</v>
      </c>
      <c r="C85" s="296" t="s">
        <v>220</v>
      </c>
      <c r="D85" s="293">
        <v>2.2584163556740515</v>
      </c>
      <c r="E85" s="285" t="s">
        <v>222</v>
      </c>
      <c r="F85" s="286" t="s">
        <v>479</v>
      </c>
    </row>
    <row r="86" spans="2:6" ht="15" customHeight="1" x14ac:dyDescent="0.25">
      <c r="B86" s="285">
        <v>2023</v>
      </c>
      <c r="C86" s="296" t="s">
        <v>220</v>
      </c>
      <c r="D86" s="293">
        <v>2.2461381534585034</v>
      </c>
      <c r="E86" s="285" t="s">
        <v>222</v>
      </c>
      <c r="F86" s="286" t="s">
        <v>406</v>
      </c>
    </row>
    <row r="87" spans="2:6" ht="15" customHeight="1" x14ac:dyDescent="0.25">
      <c r="B87" s="285">
        <v>2024</v>
      </c>
      <c r="C87" s="296" t="s">
        <v>220</v>
      </c>
      <c r="D87" s="293">
        <v>2.2539486753055447</v>
      </c>
      <c r="E87" s="285" t="s">
        <v>222</v>
      </c>
      <c r="F87" s="286" t="s">
        <v>457</v>
      </c>
    </row>
    <row r="88" spans="2:6" ht="15" customHeight="1" x14ac:dyDescent="0.25">
      <c r="B88" s="285">
        <v>2025</v>
      </c>
      <c r="C88" s="296" t="s">
        <v>220</v>
      </c>
      <c r="D88" s="267"/>
      <c r="E88" s="285" t="s">
        <v>222</v>
      </c>
      <c r="F88" s="286" t="s">
        <v>402</v>
      </c>
    </row>
    <row r="89" spans="2:6" ht="15" customHeight="1" x14ac:dyDescent="0.25">
      <c r="B89" s="285">
        <v>2026</v>
      </c>
      <c r="C89" s="296" t="s">
        <v>220</v>
      </c>
      <c r="D89" s="267"/>
      <c r="E89" s="285" t="s">
        <v>222</v>
      </c>
      <c r="F89" s="286" t="s">
        <v>403</v>
      </c>
    </row>
    <row r="90" spans="2:6" ht="15" customHeight="1" x14ac:dyDescent="0.25">
      <c r="B90" s="285">
        <v>2027</v>
      </c>
      <c r="C90" s="296" t="s">
        <v>220</v>
      </c>
      <c r="D90" s="267"/>
      <c r="E90" s="285" t="s">
        <v>222</v>
      </c>
      <c r="F90" s="286" t="s">
        <v>404</v>
      </c>
    </row>
    <row r="91" spans="2:6" ht="15" customHeight="1" x14ac:dyDescent="0.25">
      <c r="B91" s="285">
        <v>2028</v>
      </c>
      <c r="C91" s="296" t="s">
        <v>220</v>
      </c>
      <c r="D91" s="267"/>
      <c r="E91" s="285" t="s">
        <v>222</v>
      </c>
      <c r="F91" s="286" t="s">
        <v>400</v>
      </c>
    </row>
    <row r="92" spans="2:6" ht="15" customHeight="1" x14ac:dyDescent="0.25">
      <c r="B92" s="285">
        <v>2022</v>
      </c>
      <c r="C92" s="296" t="s">
        <v>221</v>
      </c>
      <c r="D92" s="293">
        <v>2.25884374011761</v>
      </c>
      <c r="E92" s="286" t="s">
        <v>222</v>
      </c>
      <c r="F92" s="286" t="s">
        <v>479</v>
      </c>
    </row>
    <row r="93" spans="2:6" ht="15" customHeight="1" x14ac:dyDescent="0.25">
      <c r="B93" s="285">
        <v>2023</v>
      </c>
      <c r="C93" s="296" t="s">
        <v>221</v>
      </c>
      <c r="D93" s="293">
        <v>2.2463205156380472</v>
      </c>
      <c r="E93" s="286" t="s">
        <v>222</v>
      </c>
      <c r="F93" s="286" t="s">
        <v>406</v>
      </c>
    </row>
    <row r="94" spans="2:6" ht="15" customHeight="1" x14ac:dyDescent="0.25">
      <c r="B94" s="285">
        <v>2024</v>
      </c>
      <c r="C94" s="296" t="s">
        <v>221</v>
      </c>
      <c r="D94" s="293">
        <v>2.2549568873893024</v>
      </c>
      <c r="E94" s="286" t="s">
        <v>222</v>
      </c>
      <c r="F94" s="286" t="s">
        <v>457</v>
      </c>
    </row>
    <row r="95" spans="2:6" ht="15" customHeight="1" x14ac:dyDescent="0.25">
      <c r="B95" s="285">
        <v>2025</v>
      </c>
      <c r="C95" s="296" t="s">
        <v>221</v>
      </c>
      <c r="D95" s="267"/>
      <c r="E95" s="286" t="s">
        <v>222</v>
      </c>
      <c r="F95" s="286" t="s">
        <v>402</v>
      </c>
    </row>
    <row r="96" spans="2:6" ht="15" customHeight="1" x14ac:dyDescent="0.25">
      <c r="B96" s="285">
        <v>2026</v>
      </c>
      <c r="C96" s="296" t="s">
        <v>221</v>
      </c>
      <c r="D96" s="267"/>
      <c r="E96" s="286" t="s">
        <v>222</v>
      </c>
      <c r="F96" s="286" t="s">
        <v>403</v>
      </c>
    </row>
    <row r="97" spans="2:6" ht="15" customHeight="1" x14ac:dyDescent="0.25">
      <c r="B97" s="285">
        <v>2027</v>
      </c>
      <c r="C97" s="296" t="s">
        <v>221</v>
      </c>
      <c r="D97" s="267"/>
      <c r="E97" s="286" t="s">
        <v>222</v>
      </c>
      <c r="F97" s="286" t="s">
        <v>404</v>
      </c>
    </row>
    <row r="98" spans="2:6" ht="15" customHeight="1" x14ac:dyDescent="0.25">
      <c r="B98" s="285">
        <v>2028</v>
      </c>
      <c r="C98" s="296" t="s">
        <v>221</v>
      </c>
      <c r="D98" s="267"/>
      <c r="E98" s="286" t="s">
        <v>222</v>
      </c>
      <c r="F98" s="286" t="s">
        <v>400</v>
      </c>
    </row>
    <row r="99" spans="2:6" ht="15" customHeight="1" x14ac:dyDescent="0.25">
      <c r="B99" s="285">
        <v>2022</v>
      </c>
      <c r="C99" s="296" t="s">
        <v>223</v>
      </c>
      <c r="D99" s="293">
        <v>1.369294808464085E-2</v>
      </c>
      <c r="E99" s="286" t="s">
        <v>224</v>
      </c>
      <c r="F99" s="286" t="s">
        <v>480</v>
      </c>
    </row>
    <row r="100" spans="2:6" ht="15" customHeight="1" x14ac:dyDescent="0.25">
      <c r="B100" s="285">
        <v>2023</v>
      </c>
      <c r="C100" s="296" t="s">
        <v>223</v>
      </c>
      <c r="D100" s="293">
        <v>1.9015006350664311E-2</v>
      </c>
      <c r="E100" s="286" t="s">
        <v>224</v>
      </c>
      <c r="F100" s="286" t="s">
        <v>407</v>
      </c>
    </row>
    <row r="101" spans="2:6" ht="15" customHeight="1" x14ac:dyDescent="0.25">
      <c r="B101" s="285">
        <v>2024</v>
      </c>
      <c r="C101" s="296" t="s">
        <v>223</v>
      </c>
      <c r="D101" s="293">
        <v>1.7253427429580973E-2</v>
      </c>
      <c r="E101" s="286" t="s">
        <v>224</v>
      </c>
      <c r="F101" s="286" t="s">
        <v>458</v>
      </c>
    </row>
    <row r="102" spans="2:6" ht="15" customHeight="1" x14ac:dyDescent="0.25">
      <c r="B102" s="285">
        <v>2025</v>
      </c>
      <c r="C102" s="296" t="s">
        <v>223</v>
      </c>
      <c r="D102" s="267"/>
      <c r="E102" s="286" t="s">
        <v>224</v>
      </c>
      <c r="F102" s="286" t="s">
        <v>402</v>
      </c>
    </row>
    <row r="103" spans="2:6" ht="15" customHeight="1" x14ac:dyDescent="0.25">
      <c r="B103" s="285">
        <v>2026</v>
      </c>
      <c r="C103" s="296" t="s">
        <v>223</v>
      </c>
      <c r="D103" s="267"/>
      <c r="E103" s="286" t="s">
        <v>224</v>
      </c>
      <c r="F103" s="286" t="s">
        <v>403</v>
      </c>
    </row>
    <row r="104" spans="2:6" ht="15" customHeight="1" x14ac:dyDescent="0.25">
      <c r="B104" s="285">
        <v>2027</v>
      </c>
      <c r="C104" s="296" t="s">
        <v>223</v>
      </c>
      <c r="D104" s="267"/>
      <c r="E104" s="286" t="s">
        <v>224</v>
      </c>
      <c r="F104" s="286" t="s">
        <v>404</v>
      </c>
    </row>
    <row r="105" spans="2:6" ht="15" customHeight="1" x14ac:dyDescent="0.25">
      <c r="B105" s="285">
        <v>2028</v>
      </c>
      <c r="C105" s="296" t="s">
        <v>223</v>
      </c>
      <c r="D105" s="267"/>
      <c r="E105" s="286" t="s">
        <v>224</v>
      </c>
      <c r="F105" s="286" t="s">
        <v>400</v>
      </c>
    </row>
    <row r="106" spans="2:6" ht="15" customHeight="1" x14ac:dyDescent="0.25">
      <c r="B106" s="285">
        <v>2022</v>
      </c>
      <c r="C106" s="296" t="s">
        <v>225</v>
      </c>
      <c r="D106" s="294">
        <v>2.6456243221875493</v>
      </c>
      <c r="E106" s="287" t="s">
        <v>496</v>
      </c>
      <c r="F106" s="287" t="s">
        <v>481</v>
      </c>
    </row>
    <row r="107" spans="2:6" ht="15" customHeight="1" x14ac:dyDescent="0.25">
      <c r="B107" s="285">
        <v>2023</v>
      </c>
      <c r="C107" s="296" t="s">
        <v>225</v>
      </c>
      <c r="D107" s="293">
        <v>2.6481957657391515</v>
      </c>
      <c r="E107" s="287" t="s">
        <v>496</v>
      </c>
      <c r="F107" s="286" t="s">
        <v>408</v>
      </c>
    </row>
    <row r="108" spans="2:6" ht="15" customHeight="1" x14ac:dyDescent="0.25">
      <c r="B108" s="285">
        <v>2024</v>
      </c>
      <c r="C108" s="296" t="s">
        <v>225</v>
      </c>
      <c r="D108" s="293">
        <v>2.648845717478129</v>
      </c>
      <c r="E108" s="287" t="s">
        <v>496</v>
      </c>
      <c r="F108" s="286" t="s">
        <v>459</v>
      </c>
    </row>
    <row r="109" spans="2:6" ht="15" customHeight="1" x14ac:dyDescent="0.25">
      <c r="B109" s="285">
        <v>2025</v>
      </c>
      <c r="C109" s="296" t="s">
        <v>225</v>
      </c>
      <c r="D109" s="267"/>
      <c r="E109" s="287" t="s">
        <v>496</v>
      </c>
      <c r="F109" s="286" t="s">
        <v>402</v>
      </c>
    </row>
    <row r="110" spans="2:6" ht="15" customHeight="1" x14ac:dyDescent="0.25">
      <c r="B110" s="285">
        <v>2026</v>
      </c>
      <c r="C110" s="296" t="s">
        <v>225</v>
      </c>
      <c r="D110" s="267"/>
      <c r="E110" s="287" t="s">
        <v>496</v>
      </c>
      <c r="F110" s="286" t="s">
        <v>403</v>
      </c>
    </row>
    <row r="111" spans="2:6" ht="15" customHeight="1" x14ac:dyDescent="0.25">
      <c r="B111" s="285">
        <v>2027</v>
      </c>
      <c r="C111" s="296" t="s">
        <v>225</v>
      </c>
      <c r="D111" s="267"/>
      <c r="E111" s="287" t="s">
        <v>496</v>
      </c>
      <c r="F111" s="286" t="s">
        <v>404</v>
      </c>
    </row>
    <row r="112" spans="2:6" ht="15" customHeight="1" x14ac:dyDescent="0.25">
      <c r="B112" s="285">
        <v>2028</v>
      </c>
      <c r="C112" s="296" t="s">
        <v>225</v>
      </c>
      <c r="D112" s="267"/>
      <c r="E112" s="287" t="s">
        <v>496</v>
      </c>
      <c r="F112" s="286" t="s">
        <v>400</v>
      </c>
    </row>
    <row r="113" spans="2:6" ht="15" customHeight="1" x14ac:dyDescent="0.25">
      <c r="B113" s="285">
        <v>2022</v>
      </c>
      <c r="C113" s="296" t="s">
        <v>226</v>
      </c>
      <c r="D113" s="293">
        <v>2.6354162470633744</v>
      </c>
      <c r="E113" s="287" t="s">
        <v>496</v>
      </c>
      <c r="F113" s="286" t="s">
        <v>481</v>
      </c>
    </row>
    <row r="114" spans="2:6" ht="15" customHeight="1" x14ac:dyDescent="0.25">
      <c r="B114" s="285">
        <v>2023</v>
      </c>
      <c r="C114" s="296" t="s">
        <v>226</v>
      </c>
      <c r="D114" s="293">
        <v>2.6361991723522973</v>
      </c>
      <c r="E114" s="287" t="s">
        <v>496</v>
      </c>
      <c r="F114" s="286" t="s">
        <v>408</v>
      </c>
    </row>
    <row r="115" spans="2:6" ht="15" customHeight="1" x14ac:dyDescent="0.25">
      <c r="B115" s="285">
        <v>2024</v>
      </c>
      <c r="C115" s="296" t="s">
        <v>226</v>
      </c>
      <c r="D115" s="293">
        <v>2.6315840053775625</v>
      </c>
      <c r="E115" s="287" t="s">
        <v>496</v>
      </c>
      <c r="F115" s="286" t="s">
        <v>459</v>
      </c>
    </row>
    <row r="116" spans="2:6" ht="15" customHeight="1" x14ac:dyDescent="0.25">
      <c r="B116" s="285">
        <v>2025</v>
      </c>
      <c r="C116" s="296" t="s">
        <v>226</v>
      </c>
      <c r="D116" s="267"/>
      <c r="E116" s="287" t="s">
        <v>496</v>
      </c>
      <c r="F116" s="286" t="s">
        <v>402</v>
      </c>
    </row>
    <row r="117" spans="2:6" ht="15" customHeight="1" x14ac:dyDescent="0.25">
      <c r="B117" s="285">
        <v>2026</v>
      </c>
      <c r="C117" s="296" t="s">
        <v>226</v>
      </c>
      <c r="D117" s="267"/>
      <c r="E117" s="287" t="s">
        <v>496</v>
      </c>
      <c r="F117" s="286" t="s">
        <v>403</v>
      </c>
    </row>
    <row r="118" spans="2:6" ht="15" customHeight="1" x14ac:dyDescent="0.25">
      <c r="B118" s="285">
        <v>2027</v>
      </c>
      <c r="C118" s="296" t="s">
        <v>226</v>
      </c>
      <c r="D118" s="267"/>
      <c r="E118" s="287" t="s">
        <v>496</v>
      </c>
      <c r="F118" s="286" t="s">
        <v>404</v>
      </c>
    </row>
    <row r="119" spans="2:6" ht="15" customHeight="1" x14ac:dyDescent="0.25">
      <c r="B119" s="285">
        <v>2028</v>
      </c>
      <c r="C119" s="296" t="s">
        <v>226</v>
      </c>
      <c r="D119" s="267"/>
      <c r="E119" s="287" t="s">
        <v>496</v>
      </c>
      <c r="F119" s="286" t="s">
        <v>400</v>
      </c>
    </row>
    <row r="120" spans="2:6" ht="15" customHeight="1" x14ac:dyDescent="0.25">
      <c r="B120" s="285">
        <v>2022</v>
      </c>
      <c r="C120" s="296" t="s">
        <v>227</v>
      </c>
      <c r="D120" s="293">
        <v>2.6421820289063431</v>
      </c>
      <c r="E120" s="286" t="s">
        <v>222</v>
      </c>
      <c r="F120" s="286" t="s">
        <v>481</v>
      </c>
    </row>
    <row r="121" spans="2:6" ht="15" customHeight="1" x14ac:dyDescent="0.25">
      <c r="B121" s="285">
        <v>2023</v>
      </c>
      <c r="C121" s="296" t="s">
        <v>227</v>
      </c>
      <c r="D121" s="293">
        <v>2.6418565997846168</v>
      </c>
      <c r="E121" s="286" t="s">
        <v>222</v>
      </c>
      <c r="F121" s="286" t="s">
        <v>408</v>
      </c>
    </row>
    <row r="122" spans="2:6" ht="15" customHeight="1" x14ac:dyDescent="0.25">
      <c r="B122" s="285">
        <v>2024</v>
      </c>
      <c r="C122" s="296" t="s">
        <v>227</v>
      </c>
      <c r="D122" s="293">
        <v>2.6372619308341347</v>
      </c>
      <c r="E122" s="286" t="s">
        <v>222</v>
      </c>
      <c r="F122" s="286" t="s">
        <v>459</v>
      </c>
    </row>
    <row r="123" spans="2:6" ht="15" customHeight="1" x14ac:dyDescent="0.25">
      <c r="B123" s="285">
        <v>2025</v>
      </c>
      <c r="C123" s="296" t="s">
        <v>227</v>
      </c>
      <c r="D123" s="267"/>
      <c r="E123" s="286" t="s">
        <v>222</v>
      </c>
      <c r="F123" s="286" t="s">
        <v>402</v>
      </c>
    </row>
    <row r="124" spans="2:6" ht="15" customHeight="1" x14ac:dyDescent="0.25">
      <c r="B124" s="285">
        <v>2026</v>
      </c>
      <c r="C124" s="296" t="s">
        <v>227</v>
      </c>
      <c r="D124" s="267"/>
      <c r="E124" s="286" t="s">
        <v>222</v>
      </c>
      <c r="F124" s="286" t="s">
        <v>403</v>
      </c>
    </row>
    <row r="125" spans="2:6" ht="15" customHeight="1" x14ac:dyDescent="0.25">
      <c r="B125" s="285">
        <v>2027</v>
      </c>
      <c r="C125" s="296" t="s">
        <v>227</v>
      </c>
      <c r="D125" s="267"/>
      <c r="E125" s="286" t="s">
        <v>222</v>
      </c>
      <c r="F125" s="286" t="s">
        <v>404</v>
      </c>
    </row>
    <row r="126" spans="2:6" ht="15" customHeight="1" x14ac:dyDescent="0.25">
      <c r="B126" s="285">
        <v>2028</v>
      </c>
      <c r="C126" s="296" t="s">
        <v>227</v>
      </c>
      <c r="D126" s="267"/>
      <c r="E126" s="286" t="s">
        <v>222</v>
      </c>
      <c r="F126" s="286" t="s">
        <v>400</v>
      </c>
    </row>
    <row r="127" spans="2:6" ht="15" customHeight="1" x14ac:dyDescent="0.25">
      <c r="B127" s="285">
        <v>2022</v>
      </c>
      <c r="C127" s="296" t="s">
        <v>228</v>
      </c>
      <c r="D127" s="293">
        <v>2.7212696147513071</v>
      </c>
      <c r="E127" s="286" t="s">
        <v>224</v>
      </c>
      <c r="F127" s="286" t="s">
        <v>480</v>
      </c>
    </row>
    <row r="128" spans="2:6" ht="15" customHeight="1" x14ac:dyDescent="0.25">
      <c r="B128" s="285">
        <v>2023</v>
      </c>
      <c r="C128" s="296" t="s">
        <v>228</v>
      </c>
      <c r="D128" s="293">
        <v>2.7265916730173307</v>
      </c>
      <c r="E128" s="286" t="s">
        <v>224</v>
      </c>
      <c r="F128" s="286" t="s">
        <v>407</v>
      </c>
    </row>
    <row r="129" spans="2:6" ht="15" customHeight="1" x14ac:dyDescent="0.25">
      <c r="B129" s="285">
        <v>2024</v>
      </c>
      <c r="C129" s="296" t="s">
        <v>228</v>
      </c>
      <c r="D129" s="293">
        <v>2.7248300940962475</v>
      </c>
      <c r="E129" s="286" t="s">
        <v>224</v>
      </c>
      <c r="F129" s="286" t="s">
        <v>458</v>
      </c>
    </row>
    <row r="130" spans="2:6" ht="15" customHeight="1" x14ac:dyDescent="0.25">
      <c r="B130" s="285">
        <v>2025</v>
      </c>
      <c r="C130" s="296" t="s">
        <v>228</v>
      </c>
      <c r="D130" s="267"/>
      <c r="E130" s="286" t="s">
        <v>224</v>
      </c>
      <c r="F130" s="286" t="s">
        <v>402</v>
      </c>
    </row>
    <row r="131" spans="2:6" ht="15" customHeight="1" x14ac:dyDescent="0.25">
      <c r="B131" s="285">
        <v>2026</v>
      </c>
      <c r="C131" s="296" t="s">
        <v>228</v>
      </c>
      <c r="D131" s="267"/>
      <c r="E131" s="286" t="s">
        <v>224</v>
      </c>
      <c r="F131" s="286" t="s">
        <v>403</v>
      </c>
    </row>
    <row r="132" spans="2:6" ht="15" customHeight="1" x14ac:dyDescent="0.25">
      <c r="B132" s="285">
        <v>2027</v>
      </c>
      <c r="C132" s="296" t="s">
        <v>228</v>
      </c>
      <c r="D132" s="267"/>
      <c r="E132" s="286" t="s">
        <v>224</v>
      </c>
      <c r="F132" s="286" t="s">
        <v>404</v>
      </c>
    </row>
    <row r="133" spans="2:6" ht="15" customHeight="1" x14ac:dyDescent="0.25">
      <c r="B133" s="285">
        <v>2028</v>
      </c>
      <c r="C133" s="296" t="s">
        <v>228</v>
      </c>
      <c r="D133" s="267"/>
      <c r="E133" s="286" t="s">
        <v>224</v>
      </c>
      <c r="F133" s="286" t="s">
        <v>400</v>
      </c>
    </row>
    <row r="134" spans="2:6" ht="15" customHeight="1" x14ac:dyDescent="0.25">
      <c r="C134" s="296" t="s">
        <v>229</v>
      </c>
      <c r="D134" s="293">
        <v>0</v>
      </c>
      <c r="E134" s="286" t="s">
        <v>230</v>
      </c>
      <c r="F134" s="286" t="s">
        <v>231</v>
      </c>
    </row>
    <row r="135" spans="2:6" ht="15" customHeight="1" x14ac:dyDescent="0.25">
      <c r="B135" s="285">
        <v>2022</v>
      </c>
      <c r="C135" s="298" t="s">
        <v>232</v>
      </c>
      <c r="D135" s="294">
        <f>segajääk_2022</f>
        <v>0.63700000000000001</v>
      </c>
      <c r="E135" s="286" t="s">
        <v>200</v>
      </c>
      <c r="F135" s="286" t="str">
        <f>F8</f>
        <v>Elering 2022. Elektrienergia segajäägi eriheide 2021</v>
      </c>
    </row>
    <row r="136" spans="2:6" ht="15" customHeight="1" x14ac:dyDescent="0.25">
      <c r="B136" s="285">
        <v>2023</v>
      </c>
      <c r="C136" s="298" t="s">
        <v>232</v>
      </c>
      <c r="D136" s="294">
        <f>segajääk_2023</f>
        <v>0.71518000000000004</v>
      </c>
      <c r="E136" s="286" t="s">
        <v>200</v>
      </c>
      <c r="F136" s="286" t="s">
        <v>233</v>
      </c>
    </row>
    <row r="137" spans="2:6" ht="15" customHeight="1" x14ac:dyDescent="0.25">
      <c r="B137" s="285">
        <v>2024</v>
      </c>
      <c r="C137" s="298" t="s">
        <v>232</v>
      </c>
      <c r="D137" s="294">
        <f>segajääk_2024</f>
        <v>0.71165999999999996</v>
      </c>
      <c r="E137" s="286" t="s">
        <v>200</v>
      </c>
      <c r="F137" s="286" t="s">
        <v>234</v>
      </c>
    </row>
    <row r="138" spans="2:6" ht="15" customHeight="1" x14ac:dyDescent="0.25">
      <c r="B138" s="285">
        <v>2025</v>
      </c>
      <c r="C138" s="298" t="s">
        <v>232</v>
      </c>
      <c r="D138" s="294">
        <f>segajääk_2025</f>
        <v>0</v>
      </c>
      <c r="E138" s="286" t="s">
        <v>200</v>
      </c>
      <c r="F138" s="286" t="s">
        <v>235</v>
      </c>
    </row>
    <row r="139" spans="2:6" ht="15" customHeight="1" x14ac:dyDescent="0.25">
      <c r="B139" s="285">
        <v>2026</v>
      </c>
      <c r="C139" s="298" t="s">
        <v>232</v>
      </c>
      <c r="D139" s="294">
        <f>segajääk_2026</f>
        <v>0</v>
      </c>
      <c r="E139" s="286" t="s">
        <v>200</v>
      </c>
      <c r="F139" s="286" t="s">
        <v>236</v>
      </c>
    </row>
    <row r="140" spans="2:6" ht="15" customHeight="1" x14ac:dyDescent="0.25">
      <c r="B140" s="285">
        <v>2027</v>
      </c>
      <c r="C140" s="298" t="s">
        <v>232</v>
      </c>
      <c r="D140" s="294">
        <f>segajääk_2027</f>
        <v>0</v>
      </c>
      <c r="E140" s="286" t="s">
        <v>200</v>
      </c>
      <c r="F140" s="286" t="s">
        <v>237</v>
      </c>
    </row>
    <row r="141" spans="2:6" ht="15" customHeight="1" x14ac:dyDescent="0.25">
      <c r="B141" s="285">
        <v>2028</v>
      </c>
      <c r="C141" s="298" t="s">
        <v>232</v>
      </c>
      <c r="D141" s="294">
        <f>segajääk_2028</f>
        <v>0</v>
      </c>
      <c r="E141" s="286" t="s">
        <v>200</v>
      </c>
      <c r="F141" s="286" t="s">
        <v>238</v>
      </c>
    </row>
    <row r="144" spans="2:6" ht="15" customHeight="1" x14ac:dyDescent="0.25">
      <c r="B144" s="477" t="s">
        <v>239</v>
      </c>
      <c r="C144" s="478"/>
      <c r="E144" s="2"/>
      <c r="F144" s="2"/>
    </row>
    <row r="145" spans="2:6" ht="15" customHeight="1" x14ac:dyDescent="0.25">
      <c r="B145" s="485" t="s">
        <v>240</v>
      </c>
      <c r="C145" s="486"/>
      <c r="D145" s="487" t="s">
        <v>241</v>
      </c>
      <c r="E145" s="488" t="s">
        <v>198</v>
      </c>
      <c r="F145" s="2"/>
    </row>
    <row r="146" spans="2:6" ht="15" customHeight="1" x14ac:dyDescent="0.25">
      <c r="B146" s="489"/>
      <c r="C146" s="490"/>
      <c r="D146" s="491" t="s">
        <v>242</v>
      </c>
      <c r="E146" s="492"/>
      <c r="F146" s="2"/>
    </row>
    <row r="147" spans="2:6" ht="15" customHeight="1" x14ac:dyDescent="0.25">
      <c r="B147" s="493"/>
      <c r="C147" s="494"/>
      <c r="D147" s="495" t="s">
        <v>243</v>
      </c>
      <c r="E147" s="496"/>
      <c r="F147" s="2"/>
    </row>
    <row r="148" spans="2:6" ht="15" customHeight="1" x14ac:dyDescent="0.25">
      <c r="B148" s="296" t="s">
        <v>244</v>
      </c>
      <c r="C148" s="297"/>
      <c r="D148" s="299">
        <v>1300</v>
      </c>
      <c r="E148" s="286" t="s">
        <v>245</v>
      </c>
      <c r="F148" s="2"/>
    </row>
    <row r="149" spans="2:6" ht="15" customHeight="1" x14ac:dyDescent="0.25">
      <c r="B149" s="296" t="s">
        <v>246</v>
      </c>
      <c r="C149" s="297"/>
      <c r="D149" s="299">
        <v>3942.8</v>
      </c>
      <c r="E149" s="286" t="s">
        <v>245</v>
      </c>
      <c r="F149" s="2"/>
    </row>
    <row r="150" spans="2:6" ht="15" customHeight="1" x14ac:dyDescent="0.25">
      <c r="B150" s="296" t="s">
        <v>247</v>
      </c>
      <c r="C150" s="297"/>
      <c r="D150" s="299">
        <v>1923.4</v>
      </c>
      <c r="E150" s="286" t="s">
        <v>245</v>
      </c>
      <c r="F150" s="2"/>
    </row>
    <row r="151" spans="2:6" ht="15" customHeight="1" x14ac:dyDescent="0.25">
      <c r="B151" s="296" t="s">
        <v>248</v>
      </c>
      <c r="C151" s="297"/>
      <c r="D151" s="299">
        <v>1624.3</v>
      </c>
      <c r="E151" s="286" t="s">
        <v>245</v>
      </c>
      <c r="F151" s="2"/>
    </row>
    <row r="152" spans="2:6" ht="15" customHeight="1" x14ac:dyDescent="0.25">
      <c r="B152" s="296" t="s">
        <v>249</v>
      </c>
      <c r="C152" s="297"/>
      <c r="D152" s="299">
        <v>1674.1</v>
      </c>
      <c r="E152" s="286" t="s">
        <v>245</v>
      </c>
      <c r="F152" s="2"/>
    </row>
    <row r="153" spans="2:6" ht="15" customHeight="1" x14ac:dyDescent="0.25">
      <c r="B153" s="296" t="s">
        <v>250</v>
      </c>
      <c r="C153" s="297"/>
      <c r="D153" s="299">
        <v>1923.5</v>
      </c>
      <c r="E153" s="286" t="s">
        <v>245</v>
      </c>
      <c r="F153" s="2"/>
    </row>
    <row r="154" spans="2:6" ht="15" customHeight="1" x14ac:dyDescent="0.25">
      <c r="B154" s="296" t="s">
        <v>251</v>
      </c>
      <c r="C154" s="297"/>
      <c r="D154" s="299">
        <v>2127.4</v>
      </c>
      <c r="E154" s="286" t="s">
        <v>245</v>
      </c>
      <c r="F154" s="2"/>
    </row>
    <row r="155" spans="2:6" ht="15" customHeight="1" x14ac:dyDescent="0.25">
      <c r="B155" s="296" t="s">
        <v>252</v>
      </c>
      <c r="C155" s="297"/>
      <c r="D155" s="299">
        <v>2847.2999999999997</v>
      </c>
      <c r="E155" s="286" t="s">
        <v>245</v>
      </c>
      <c r="F155" s="2"/>
    </row>
    <row r="156" spans="2:6" ht="15" customHeight="1" x14ac:dyDescent="0.25">
      <c r="B156" s="296" t="s">
        <v>253</v>
      </c>
      <c r="C156" s="297"/>
      <c r="D156" s="299">
        <v>2473.2999999999997</v>
      </c>
      <c r="E156" s="286" t="s">
        <v>245</v>
      </c>
      <c r="F156" s="2"/>
    </row>
    <row r="157" spans="2:6" ht="15" customHeight="1" x14ac:dyDescent="0.25">
      <c r="B157" s="296" t="s">
        <v>254</v>
      </c>
      <c r="C157" s="297"/>
      <c r="D157" s="299">
        <v>2024.1</v>
      </c>
      <c r="E157" s="286" t="s">
        <v>245</v>
      </c>
      <c r="F157" s="2"/>
    </row>
    <row r="158" spans="2:6" ht="15" customHeight="1" x14ac:dyDescent="0.25">
      <c r="B158" s="296" t="s">
        <v>255</v>
      </c>
      <c r="C158" s="297"/>
      <c r="D158" s="299">
        <v>3985</v>
      </c>
      <c r="E158" s="286" t="s">
        <v>245</v>
      </c>
      <c r="F158" s="2"/>
    </row>
    <row r="159" spans="2:6" ht="15" customHeight="1" x14ac:dyDescent="0.25">
      <c r="B159" s="300" t="s">
        <v>256</v>
      </c>
      <c r="C159" s="300"/>
      <c r="E159" s="2"/>
      <c r="F159" s="2"/>
    </row>
    <row r="162" spans="2:6" ht="15" customHeight="1" x14ac:dyDescent="0.25">
      <c r="B162" s="477" t="s">
        <v>257</v>
      </c>
      <c r="C162" s="478"/>
      <c r="D162" s="301"/>
      <c r="E162" s="2"/>
      <c r="F162" s="2"/>
    </row>
    <row r="163" spans="2:6" ht="15" customHeight="1" x14ac:dyDescent="0.25">
      <c r="B163" s="480" t="s">
        <v>194</v>
      </c>
      <c r="C163" s="480" t="s">
        <v>258</v>
      </c>
      <c r="D163" s="481" t="s">
        <v>196</v>
      </c>
      <c r="E163" s="481" t="s">
        <v>197</v>
      </c>
      <c r="F163" s="484" t="s">
        <v>198</v>
      </c>
    </row>
    <row r="164" spans="2:6" ht="15" customHeight="1" x14ac:dyDescent="0.25">
      <c r="B164" s="285">
        <v>2022</v>
      </c>
      <c r="C164" s="296" t="s">
        <v>259</v>
      </c>
      <c r="D164" s="293">
        <v>0.19120832501511228</v>
      </c>
      <c r="E164" s="285" t="s">
        <v>260</v>
      </c>
      <c r="F164" s="286" t="s">
        <v>482</v>
      </c>
    </row>
    <row r="165" spans="2:6" ht="15" customHeight="1" x14ac:dyDescent="0.25">
      <c r="B165" s="285">
        <v>2023</v>
      </c>
      <c r="C165" s="296" t="s">
        <v>259</v>
      </c>
      <c r="D165" s="293">
        <v>0.1987030251678587</v>
      </c>
      <c r="E165" s="285" t="s">
        <v>260</v>
      </c>
      <c r="F165" s="286" t="s">
        <v>409</v>
      </c>
    </row>
    <row r="166" spans="2:6" ht="15" customHeight="1" x14ac:dyDescent="0.25">
      <c r="B166" s="285">
        <v>2024</v>
      </c>
      <c r="C166" s="296" t="s">
        <v>259</v>
      </c>
      <c r="D166" s="293">
        <v>0.19091238197802346</v>
      </c>
      <c r="E166" s="285" t="s">
        <v>260</v>
      </c>
      <c r="F166" s="286" t="s">
        <v>405</v>
      </c>
    </row>
    <row r="167" spans="2:6" ht="15" customHeight="1" x14ac:dyDescent="0.25">
      <c r="B167" s="285">
        <v>2025</v>
      </c>
      <c r="C167" s="296" t="s">
        <v>259</v>
      </c>
      <c r="D167" s="267"/>
      <c r="E167" s="285" t="s">
        <v>260</v>
      </c>
      <c r="F167" s="286" t="s">
        <v>402</v>
      </c>
    </row>
    <row r="168" spans="2:6" ht="15" customHeight="1" x14ac:dyDescent="0.25">
      <c r="B168" s="285">
        <v>2026</v>
      </c>
      <c r="C168" s="296" t="s">
        <v>259</v>
      </c>
      <c r="D168" s="267"/>
      <c r="E168" s="285" t="s">
        <v>260</v>
      </c>
      <c r="F168" s="286" t="s">
        <v>403</v>
      </c>
    </row>
    <row r="169" spans="2:6" ht="15" customHeight="1" x14ac:dyDescent="0.25">
      <c r="B169" s="285">
        <v>2027</v>
      </c>
      <c r="C169" s="296" t="s">
        <v>259</v>
      </c>
      <c r="D169" s="267"/>
      <c r="E169" s="285" t="s">
        <v>260</v>
      </c>
      <c r="F169" s="286" t="s">
        <v>404</v>
      </c>
    </row>
    <row r="170" spans="2:6" ht="15" customHeight="1" x14ac:dyDescent="0.25">
      <c r="B170" s="285">
        <v>2028</v>
      </c>
      <c r="C170" s="296" t="s">
        <v>259</v>
      </c>
      <c r="D170" s="267"/>
      <c r="E170" s="285" t="s">
        <v>260</v>
      </c>
      <c r="F170" s="286" t="s">
        <v>400</v>
      </c>
    </row>
    <row r="171" spans="2:6" ht="15" customHeight="1" x14ac:dyDescent="0.25">
      <c r="B171" s="285">
        <v>2022</v>
      </c>
      <c r="C171" s="296" t="s">
        <v>261</v>
      </c>
      <c r="D171" s="293">
        <v>0.15060969005304506</v>
      </c>
      <c r="E171" s="285" t="s">
        <v>260</v>
      </c>
      <c r="F171" s="286" t="s">
        <v>482</v>
      </c>
    </row>
    <row r="172" spans="2:6" ht="15" customHeight="1" x14ac:dyDescent="0.25">
      <c r="B172" s="285">
        <v>2023</v>
      </c>
      <c r="C172" s="296" t="s">
        <v>261</v>
      </c>
      <c r="D172" s="293">
        <v>0.16202207502363047</v>
      </c>
      <c r="E172" s="285" t="s">
        <v>260</v>
      </c>
      <c r="F172" s="286" t="s">
        <v>409</v>
      </c>
    </row>
    <row r="173" spans="2:6" ht="15" customHeight="1" x14ac:dyDescent="0.25">
      <c r="B173" s="285">
        <v>2024</v>
      </c>
      <c r="C173" s="296" t="s">
        <v>261</v>
      </c>
      <c r="D173" s="293">
        <v>0.15430071720382982</v>
      </c>
      <c r="E173" s="285" t="s">
        <v>260</v>
      </c>
      <c r="F173" s="286" t="s">
        <v>405</v>
      </c>
    </row>
    <row r="174" spans="2:6" ht="15" customHeight="1" x14ac:dyDescent="0.25">
      <c r="B174" s="285">
        <v>2025</v>
      </c>
      <c r="C174" s="296" t="s">
        <v>261</v>
      </c>
      <c r="D174" s="267"/>
      <c r="E174" s="285" t="s">
        <v>260</v>
      </c>
      <c r="F174" s="286" t="s">
        <v>402</v>
      </c>
    </row>
    <row r="175" spans="2:6" ht="15" customHeight="1" x14ac:dyDescent="0.25">
      <c r="B175" s="285">
        <v>2026</v>
      </c>
      <c r="C175" s="296" t="s">
        <v>261</v>
      </c>
      <c r="D175" s="267"/>
      <c r="E175" s="285" t="s">
        <v>260</v>
      </c>
      <c r="F175" s="286" t="s">
        <v>403</v>
      </c>
    </row>
    <row r="176" spans="2:6" ht="15" customHeight="1" x14ac:dyDescent="0.25">
      <c r="B176" s="285">
        <v>2027</v>
      </c>
      <c r="C176" s="296" t="s">
        <v>261</v>
      </c>
      <c r="D176" s="267"/>
      <c r="E176" s="285" t="s">
        <v>260</v>
      </c>
      <c r="F176" s="286" t="s">
        <v>404</v>
      </c>
    </row>
    <row r="177" spans="2:6" ht="15" customHeight="1" x14ac:dyDescent="0.25">
      <c r="B177" s="285">
        <v>2028</v>
      </c>
      <c r="C177" s="296" t="s">
        <v>261</v>
      </c>
      <c r="D177" s="267"/>
      <c r="E177" s="285" t="s">
        <v>260</v>
      </c>
      <c r="F177" s="286" t="s">
        <v>400</v>
      </c>
    </row>
    <row r="178" spans="2:6" ht="15" customHeight="1" x14ac:dyDescent="0.25">
      <c r="B178" s="285">
        <v>2022</v>
      </c>
      <c r="C178" s="296" t="s">
        <v>262</v>
      </c>
      <c r="D178" s="293">
        <v>7.8774591971879945E-4</v>
      </c>
      <c r="E178" s="285" t="s">
        <v>260</v>
      </c>
      <c r="F178" s="286" t="s">
        <v>263</v>
      </c>
    </row>
    <row r="179" spans="2:6" ht="15" customHeight="1" x14ac:dyDescent="0.25">
      <c r="B179" s="285">
        <v>2023</v>
      </c>
      <c r="C179" s="296" t="s">
        <v>262</v>
      </c>
      <c r="D179" s="293">
        <v>2.4256892517526413E-3</v>
      </c>
      <c r="E179" s="285" t="s">
        <v>260</v>
      </c>
      <c r="F179" s="286" t="s">
        <v>263</v>
      </c>
    </row>
    <row r="180" spans="2:6" ht="15" customHeight="1" x14ac:dyDescent="0.25">
      <c r="B180" s="285">
        <v>2024</v>
      </c>
      <c r="C180" s="296" t="s">
        <v>262</v>
      </c>
      <c r="D180" s="293">
        <v>7.9741694074069792E-4</v>
      </c>
      <c r="E180" s="285" t="s">
        <v>260</v>
      </c>
      <c r="F180" s="286" t="s">
        <v>263</v>
      </c>
    </row>
    <row r="181" spans="2:6" ht="15" customHeight="1" x14ac:dyDescent="0.25">
      <c r="B181" s="285">
        <v>2025</v>
      </c>
      <c r="C181" s="296" t="s">
        <v>262</v>
      </c>
      <c r="D181" s="267"/>
      <c r="E181" s="285" t="s">
        <v>260</v>
      </c>
      <c r="F181" s="327"/>
    </row>
    <row r="182" spans="2:6" ht="15" customHeight="1" x14ac:dyDescent="0.25">
      <c r="B182" s="285">
        <v>2026</v>
      </c>
      <c r="C182" s="296" t="s">
        <v>262</v>
      </c>
      <c r="D182" s="267"/>
      <c r="E182" s="285" t="s">
        <v>260</v>
      </c>
      <c r="F182" s="327"/>
    </row>
    <row r="183" spans="2:6" ht="15" customHeight="1" x14ac:dyDescent="0.25">
      <c r="B183" s="285">
        <v>2027</v>
      </c>
      <c r="C183" s="296" t="s">
        <v>262</v>
      </c>
      <c r="D183" s="267"/>
      <c r="E183" s="285" t="s">
        <v>260</v>
      </c>
      <c r="F183" s="327"/>
    </row>
    <row r="184" spans="2:6" ht="15" customHeight="1" x14ac:dyDescent="0.25">
      <c r="B184" s="285">
        <v>2028</v>
      </c>
      <c r="C184" s="296" t="s">
        <v>262</v>
      </c>
      <c r="D184" s="267"/>
      <c r="E184" s="285" t="s">
        <v>260</v>
      </c>
      <c r="F184" s="327"/>
    </row>
    <row r="185" spans="2:6" ht="15" customHeight="1" x14ac:dyDescent="0.25">
      <c r="B185" s="285">
        <v>2022</v>
      </c>
      <c r="C185" s="296" t="s">
        <v>351</v>
      </c>
      <c r="D185" s="293">
        <v>0.15655277608768631</v>
      </c>
      <c r="E185" s="285" t="s">
        <v>260</v>
      </c>
      <c r="F185" s="286" t="s">
        <v>482</v>
      </c>
    </row>
    <row r="186" spans="2:6" ht="15" customHeight="1" x14ac:dyDescent="0.25">
      <c r="B186" s="285">
        <v>2023</v>
      </c>
      <c r="C186" s="296" t="s">
        <v>351</v>
      </c>
      <c r="D186" s="293">
        <v>0.15971478461091224</v>
      </c>
      <c r="E186" s="285" t="s">
        <v>260</v>
      </c>
      <c r="F186" s="286" t="s">
        <v>409</v>
      </c>
    </row>
    <row r="187" spans="2:6" ht="15" customHeight="1" x14ac:dyDescent="0.25">
      <c r="B187" s="285">
        <v>2024</v>
      </c>
      <c r="C187" s="296" t="s">
        <v>351</v>
      </c>
      <c r="D187" s="293">
        <v>0.1403949953563827</v>
      </c>
      <c r="E187" s="285" t="s">
        <v>260</v>
      </c>
      <c r="F187" s="286" t="s">
        <v>405</v>
      </c>
    </row>
    <row r="188" spans="2:6" ht="15" customHeight="1" x14ac:dyDescent="0.25">
      <c r="B188" s="285">
        <v>2025</v>
      </c>
      <c r="C188" s="296" t="s">
        <v>351</v>
      </c>
      <c r="D188" s="267"/>
      <c r="E188" s="285" t="s">
        <v>260</v>
      </c>
      <c r="F188" s="286" t="s">
        <v>402</v>
      </c>
    </row>
    <row r="189" spans="2:6" ht="15" customHeight="1" x14ac:dyDescent="0.25">
      <c r="B189" s="285">
        <v>2026</v>
      </c>
      <c r="C189" s="296" t="s">
        <v>351</v>
      </c>
      <c r="D189" s="267"/>
      <c r="E189" s="285" t="s">
        <v>260</v>
      </c>
      <c r="F189" s="286" t="s">
        <v>403</v>
      </c>
    </row>
    <row r="190" spans="2:6" ht="15" customHeight="1" x14ac:dyDescent="0.25">
      <c r="B190" s="285">
        <v>2027</v>
      </c>
      <c r="C190" s="296" t="s">
        <v>351</v>
      </c>
      <c r="D190" s="267"/>
      <c r="E190" s="285" t="s">
        <v>260</v>
      </c>
      <c r="F190" s="286" t="s">
        <v>404</v>
      </c>
    </row>
    <row r="191" spans="2:6" ht="15" customHeight="1" x14ac:dyDescent="0.25">
      <c r="B191" s="285">
        <v>2028</v>
      </c>
      <c r="C191" s="296" t="s">
        <v>351</v>
      </c>
      <c r="D191" s="267"/>
      <c r="E191" s="285" t="s">
        <v>260</v>
      </c>
      <c r="F191" s="286" t="s">
        <v>400</v>
      </c>
    </row>
    <row r="192" spans="2:6" ht="15" customHeight="1" x14ac:dyDescent="0.25">
      <c r="B192" s="285">
        <v>2022</v>
      </c>
      <c r="C192" s="296" t="s">
        <v>354</v>
      </c>
      <c r="D192" s="294">
        <v>0.11987633056454484</v>
      </c>
      <c r="E192" s="530" t="s">
        <v>483</v>
      </c>
      <c r="F192" s="287" t="s">
        <v>482</v>
      </c>
    </row>
    <row r="193" spans="2:6" ht="15" customHeight="1" x14ac:dyDescent="0.25">
      <c r="B193" s="285">
        <v>2023</v>
      </c>
      <c r="C193" s="296" t="s">
        <v>354</v>
      </c>
      <c r="D193" s="293">
        <v>0.12446904837604839</v>
      </c>
      <c r="E193" s="285" t="s">
        <v>260</v>
      </c>
      <c r="F193" s="286" t="s">
        <v>409</v>
      </c>
    </row>
    <row r="194" spans="2:6" ht="15" customHeight="1" x14ac:dyDescent="0.25">
      <c r="B194" s="285">
        <v>2024</v>
      </c>
      <c r="C194" s="296" t="s">
        <v>354</v>
      </c>
      <c r="D194" s="293">
        <v>0.12368321264114203</v>
      </c>
      <c r="E194" s="285" t="s">
        <v>260</v>
      </c>
      <c r="F194" s="286" t="s">
        <v>405</v>
      </c>
    </row>
    <row r="195" spans="2:6" ht="15" customHeight="1" x14ac:dyDescent="0.25">
      <c r="B195" s="285">
        <v>2025</v>
      </c>
      <c r="C195" s="296" t="s">
        <v>354</v>
      </c>
      <c r="D195" s="267"/>
      <c r="E195" s="285" t="s">
        <v>260</v>
      </c>
      <c r="F195" s="286" t="s">
        <v>402</v>
      </c>
    </row>
    <row r="196" spans="2:6" ht="15" customHeight="1" x14ac:dyDescent="0.25">
      <c r="B196" s="285">
        <v>2026</v>
      </c>
      <c r="C196" s="296" t="s">
        <v>354</v>
      </c>
      <c r="D196" s="267"/>
      <c r="E196" s="285" t="s">
        <v>260</v>
      </c>
      <c r="F196" s="286" t="s">
        <v>403</v>
      </c>
    </row>
    <row r="197" spans="2:6" ht="15" customHeight="1" x14ac:dyDescent="0.25">
      <c r="B197" s="285">
        <v>2027</v>
      </c>
      <c r="C197" s="296" t="s">
        <v>354</v>
      </c>
      <c r="D197" s="267"/>
      <c r="E197" s="285" t="s">
        <v>260</v>
      </c>
      <c r="F197" s="286" t="s">
        <v>404</v>
      </c>
    </row>
    <row r="198" spans="2:6" ht="15" customHeight="1" x14ac:dyDescent="0.25">
      <c r="B198" s="285">
        <v>2028</v>
      </c>
      <c r="C198" s="296" t="s">
        <v>354</v>
      </c>
      <c r="D198" s="267"/>
      <c r="E198" s="285" t="s">
        <v>260</v>
      </c>
      <c r="F198" s="286" t="s">
        <v>400</v>
      </c>
    </row>
    <row r="199" spans="2:6" ht="15" customHeight="1" x14ac:dyDescent="0.25">
      <c r="B199" s="327"/>
      <c r="C199" s="296" t="s">
        <v>264</v>
      </c>
      <c r="D199" s="293">
        <v>0</v>
      </c>
      <c r="E199" s="285" t="s">
        <v>260</v>
      </c>
      <c r="F199" s="286" t="s">
        <v>265</v>
      </c>
    </row>
    <row r="200" spans="2:6" ht="15" customHeight="1" x14ac:dyDescent="0.25">
      <c r="B200" s="285">
        <v>2022</v>
      </c>
      <c r="C200" s="296" t="s">
        <v>266</v>
      </c>
      <c r="D200" s="293">
        <f>segajääk_2022*0.2</f>
        <v>0.12740000000000001</v>
      </c>
      <c r="E200" s="285" t="s">
        <v>260</v>
      </c>
      <c r="F200" s="286" t="s">
        <v>267</v>
      </c>
    </row>
    <row r="201" spans="2:6" ht="15" customHeight="1" x14ac:dyDescent="0.25">
      <c r="B201" s="285">
        <v>2023</v>
      </c>
      <c r="C201" s="296" t="s">
        <v>266</v>
      </c>
      <c r="D201" s="293">
        <f>segajääk_2023*0.2</f>
        <v>0.14303600000000002</v>
      </c>
      <c r="E201" s="285" t="s">
        <v>260</v>
      </c>
      <c r="F201" s="286" t="s">
        <v>267</v>
      </c>
    </row>
    <row r="202" spans="2:6" ht="15" customHeight="1" x14ac:dyDescent="0.25">
      <c r="B202" s="285">
        <v>2024</v>
      </c>
      <c r="C202" s="296" t="s">
        <v>266</v>
      </c>
      <c r="D202" s="293">
        <f>segajääk_2024*0.2</f>
        <v>0.14233199999999999</v>
      </c>
      <c r="E202" s="285" t="s">
        <v>260</v>
      </c>
      <c r="F202" s="286" t="s">
        <v>267</v>
      </c>
    </row>
    <row r="203" spans="2:6" ht="15" customHeight="1" x14ac:dyDescent="0.25">
      <c r="B203" s="285">
        <v>2025</v>
      </c>
      <c r="C203" s="296" t="s">
        <v>266</v>
      </c>
      <c r="D203" s="293">
        <f>segajääk_2025*0.2</f>
        <v>0</v>
      </c>
      <c r="E203" s="285" t="s">
        <v>260</v>
      </c>
      <c r="F203" s="286" t="s">
        <v>267</v>
      </c>
    </row>
    <row r="204" spans="2:6" ht="15" customHeight="1" x14ac:dyDescent="0.25">
      <c r="B204" s="285">
        <v>2026</v>
      </c>
      <c r="C204" s="296" t="s">
        <v>266</v>
      </c>
      <c r="D204" s="293">
        <f>segajääk_2026*0.2</f>
        <v>0</v>
      </c>
      <c r="E204" s="285" t="s">
        <v>260</v>
      </c>
      <c r="F204" s="286" t="s">
        <v>267</v>
      </c>
    </row>
    <row r="205" spans="2:6" ht="15" customHeight="1" x14ac:dyDescent="0.25">
      <c r="B205" s="285">
        <v>2027</v>
      </c>
      <c r="C205" s="296" t="s">
        <v>266</v>
      </c>
      <c r="D205" s="293">
        <f>segajääk_2027*0.2</f>
        <v>0</v>
      </c>
      <c r="E205" s="285" t="s">
        <v>260</v>
      </c>
      <c r="F205" s="286" t="s">
        <v>267</v>
      </c>
    </row>
    <row r="206" spans="2:6" ht="15" customHeight="1" x14ac:dyDescent="0.25">
      <c r="B206" s="285">
        <v>2028</v>
      </c>
      <c r="C206" s="296" t="s">
        <v>266</v>
      </c>
      <c r="D206" s="293">
        <f>segajääk_2028*0.2</f>
        <v>0</v>
      </c>
      <c r="E206" s="285" t="s">
        <v>260</v>
      </c>
      <c r="F206" s="286" t="s">
        <v>267</v>
      </c>
    </row>
    <row r="207" spans="2:6" ht="15" customHeight="1" x14ac:dyDescent="0.25">
      <c r="B207" s="285">
        <v>2022</v>
      </c>
      <c r="C207" s="296" t="s">
        <v>268</v>
      </c>
      <c r="D207" s="531">
        <v>0.18053987907914804</v>
      </c>
      <c r="E207" s="530" t="s">
        <v>483</v>
      </c>
      <c r="F207" s="287" t="s">
        <v>410</v>
      </c>
    </row>
    <row r="208" spans="2:6" ht="15" customHeight="1" x14ac:dyDescent="0.25">
      <c r="B208" s="285">
        <v>2023</v>
      </c>
      <c r="C208" s="296" t="s">
        <v>268</v>
      </c>
      <c r="D208" s="302">
        <v>0.18929954423124906</v>
      </c>
      <c r="E208" s="285" t="s">
        <v>260</v>
      </c>
      <c r="F208" s="286" t="s">
        <v>411</v>
      </c>
    </row>
    <row r="209" spans="2:6" ht="15" customHeight="1" x14ac:dyDescent="0.25">
      <c r="B209" s="285">
        <v>2024</v>
      </c>
      <c r="C209" s="296" t="s">
        <v>268</v>
      </c>
      <c r="D209" s="293">
        <v>0.18393292099730651</v>
      </c>
      <c r="E209" s="285" t="s">
        <v>260</v>
      </c>
      <c r="F209" s="286" t="s">
        <v>412</v>
      </c>
    </row>
    <row r="210" spans="2:6" ht="15" customHeight="1" x14ac:dyDescent="0.25">
      <c r="B210" s="285">
        <v>2025</v>
      </c>
      <c r="C210" s="296" t="s">
        <v>268</v>
      </c>
      <c r="D210" s="267"/>
      <c r="E210" s="285" t="s">
        <v>260</v>
      </c>
      <c r="F210" s="286" t="s">
        <v>413</v>
      </c>
    </row>
    <row r="211" spans="2:6" ht="15" customHeight="1" x14ac:dyDescent="0.25">
      <c r="B211" s="285">
        <v>2026</v>
      </c>
      <c r="C211" s="296" t="s">
        <v>268</v>
      </c>
      <c r="D211" s="267"/>
      <c r="E211" s="285" t="s">
        <v>260</v>
      </c>
      <c r="F211" s="286" t="s">
        <v>414</v>
      </c>
    </row>
    <row r="212" spans="2:6" ht="15" customHeight="1" x14ac:dyDescent="0.25">
      <c r="B212" s="285">
        <v>2027</v>
      </c>
      <c r="C212" s="296" t="s">
        <v>268</v>
      </c>
      <c r="D212" s="267"/>
      <c r="E212" s="285" t="s">
        <v>260</v>
      </c>
      <c r="F212" s="286" t="s">
        <v>415</v>
      </c>
    </row>
    <row r="213" spans="2:6" ht="15" customHeight="1" x14ac:dyDescent="0.25">
      <c r="B213" s="285">
        <v>2028</v>
      </c>
      <c r="C213" s="296" t="s">
        <v>268</v>
      </c>
      <c r="D213" s="267"/>
      <c r="E213" s="285" t="s">
        <v>260</v>
      </c>
      <c r="F213" s="286" t="s">
        <v>416</v>
      </c>
    </row>
    <row r="214" spans="2:6" ht="15" customHeight="1" x14ac:dyDescent="0.25">
      <c r="B214" s="285">
        <v>2022</v>
      </c>
      <c r="C214" s="296" t="s">
        <v>269</v>
      </c>
      <c r="D214" s="531">
        <v>3.5597503422040169E-2</v>
      </c>
      <c r="E214" s="287" t="s">
        <v>484</v>
      </c>
      <c r="F214" s="287" t="s">
        <v>485</v>
      </c>
    </row>
    <row r="215" spans="2:6" ht="15" customHeight="1" x14ac:dyDescent="0.25">
      <c r="B215" s="285">
        <v>2023</v>
      </c>
      <c r="C215" s="296" t="s">
        <v>269</v>
      </c>
      <c r="D215" s="302">
        <v>2.4565872435996693E-2</v>
      </c>
      <c r="E215" s="286" t="s">
        <v>270</v>
      </c>
      <c r="F215" s="286" t="s">
        <v>417</v>
      </c>
    </row>
    <row r="216" spans="2:6" ht="15" customHeight="1" x14ac:dyDescent="0.25">
      <c r="B216" s="285">
        <v>2024</v>
      </c>
      <c r="C216" s="296" t="s">
        <v>269</v>
      </c>
      <c r="D216" s="302">
        <v>2.4046283642270481E-2</v>
      </c>
      <c r="E216" s="286" t="s">
        <v>270</v>
      </c>
      <c r="F216" s="286" t="s">
        <v>418</v>
      </c>
    </row>
    <row r="217" spans="2:6" ht="15" customHeight="1" x14ac:dyDescent="0.25">
      <c r="B217" s="285">
        <v>2025</v>
      </c>
      <c r="C217" s="296" t="s">
        <v>269</v>
      </c>
      <c r="D217" s="267"/>
      <c r="E217" s="286" t="s">
        <v>270</v>
      </c>
      <c r="F217" s="286" t="s">
        <v>419</v>
      </c>
    </row>
    <row r="218" spans="2:6" ht="15" customHeight="1" x14ac:dyDescent="0.25">
      <c r="B218" s="285">
        <v>2026</v>
      </c>
      <c r="C218" s="296" t="s">
        <v>269</v>
      </c>
      <c r="D218" s="267"/>
      <c r="E218" s="286" t="s">
        <v>270</v>
      </c>
      <c r="F218" s="286" t="s">
        <v>420</v>
      </c>
    </row>
    <row r="219" spans="2:6" ht="15" customHeight="1" x14ac:dyDescent="0.25">
      <c r="B219" s="285">
        <v>2027</v>
      </c>
      <c r="C219" s="296" t="s">
        <v>269</v>
      </c>
      <c r="D219" s="267"/>
      <c r="E219" s="286" t="s">
        <v>270</v>
      </c>
      <c r="F219" s="286" t="s">
        <v>421</v>
      </c>
    </row>
    <row r="220" spans="2:6" ht="15" customHeight="1" x14ac:dyDescent="0.25">
      <c r="B220" s="285">
        <v>2028</v>
      </c>
      <c r="C220" s="296" t="s">
        <v>269</v>
      </c>
      <c r="D220" s="267"/>
      <c r="E220" s="286" t="s">
        <v>270</v>
      </c>
      <c r="F220" s="286" t="s">
        <v>422</v>
      </c>
    </row>
    <row r="221" spans="2:6" ht="15" customHeight="1" x14ac:dyDescent="0.25">
      <c r="B221" s="285">
        <v>2022</v>
      </c>
      <c r="C221" s="296" t="s">
        <v>271</v>
      </c>
      <c r="D221" s="531">
        <v>0.11429481729489449</v>
      </c>
      <c r="E221" s="287" t="s">
        <v>484</v>
      </c>
      <c r="F221" s="287" t="s">
        <v>486</v>
      </c>
    </row>
    <row r="222" spans="2:6" ht="15" customHeight="1" x14ac:dyDescent="0.25">
      <c r="B222" s="285">
        <v>2023</v>
      </c>
      <c r="C222" s="296" t="s">
        <v>271</v>
      </c>
      <c r="D222" s="302">
        <v>0.11553876165695967</v>
      </c>
      <c r="E222" s="286" t="s">
        <v>270</v>
      </c>
      <c r="F222" s="286" t="s">
        <v>423</v>
      </c>
    </row>
    <row r="223" spans="2:6" ht="15" customHeight="1" x14ac:dyDescent="0.25">
      <c r="B223" s="285">
        <v>2024</v>
      </c>
      <c r="C223" s="296" t="s">
        <v>271</v>
      </c>
      <c r="D223" s="293">
        <v>8.7307972299789746E-2</v>
      </c>
      <c r="E223" s="286" t="s">
        <v>270</v>
      </c>
      <c r="F223" s="286" t="s">
        <v>424</v>
      </c>
    </row>
    <row r="224" spans="2:6" ht="15" customHeight="1" x14ac:dyDescent="0.25">
      <c r="B224" s="285">
        <v>2025</v>
      </c>
      <c r="C224" s="296" t="s">
        <v>271</v>
      </c>
      <c r="D224" s="267"/>
      <c r="E224" s="286" t="s">
        <v>270</v>
      </c>
      <c r="F224" s="286" t="s">
        <v>425</v>
      </c>
    </row>
    <row r="225" spans="2:6" ht="15" customHeight="1" x14ac:dyDescent="0.25">
      <c r="B225" s="285">
        <v>2026</v>
      </c>
      <c r="C225" s="296" t="s">
        <v>271</v>
      </c>
      <c r="D225" s="267"/>
      <c r="E225" s="286" t="s">
        <v>270</v>
      </c>
      <c r="F225" s="286" t="s">
        <v>426</v>
      </c>
    </row>
    <row r="226" spans="2:6" ht="15" customHeight="1" x14ac:dyDescent="0.25">
      <c r="B226" s="285">
        <v>2027</v>
      </c>
      <c r="C226" s="296" t="s">
        <v>271</v>
      </c>
      <c r="D226" s="267"/>
      <c r="E226" s="286" t="s">
        <v>270</v>
      </c>
      <c r="F226" s="286" t="s">
        <v>427</v>
      </c>
    </row>
    <row r="227" spans="2:6" ht="15" customHeight="1" x14ac:dyDescent="0.25">
      <c r="B227" s="285">
        <v>2028</v>
      </c>
      <c r="C227" s="296" t="s">
        <v>271</v>
      </c>
      <c r="D227" s="267"/>
      <c r="E227" s="286" t="s">
        <v>270</v>
      </c>
      <c r="F227" s="286" t="s">
        <v>428</v>
      </c>
    </row>
    <row r="228" spans="2:6" ht="15" customHeight="1" x14ac:dyDescent="0.25">
      <c r="B228" s="285">
        <v>2022</v>
      </c>
      <c r="C228" s="296" t="s">
        <v>272</v>
      </c>
      <c r="D228" s="302">
        <v>0.13979712396265453</v>
      </c>
      <c r="E228" s="286" t="s">
        <v>270</v>
      </c>
      <c r="F228" s="286" t="s">
        <v>487</v>
      </c>
    </row>
    <row r="229" spans="2:6" ht="15" customHeight="1" x14ac:dyDescent="0.25">
      <c r="B229" s="285">
        <v>2023</v>
      </c>
      <c r="C229" s="296" t="s">
        <v>272</v>
      </c>
      <c r="D229" s="302">
        <v>9.2280196422255711E-2</v>
      </c>
      <c r="E229" s="286" t="s">
        <v>270</v>
      </c>
      <c r="F229" s="286" t="s">
        <v>429</v>
      </c>
    </row>
    <row r="230" spans="2:6" ht="15" customHeight="1" x14ac:dyDescent="0.25">
      <c r="B230" s="285">
        <v>2024</v>
      </c>
      <c r="C230" s="296" t="s">
        <v>272</v>
      </c>
      <c r="D230" s="293">
        <v>5.2230073120572353E-2</v>
      </c>
      <c r="E230" s="286" t="s">
        <v>270</v>
      </c>
      <c r="F230" s="286" t="s">
        <v>430</v>
      </c>
    </row>
    <row r="231" spans="2:6" ht="15" customHeight="1" x14ac:dyDescent="0.25">
      <c r="B231" s="285">
        <v>2025</v>
      </c>
      <c r="C231" s="296" t="s">
        <v>272</v>
      </c>
      <c r="D231" s="267"/>
      <c r="E231" s="286" t="s">
        <v>270</v>
      </c>
      <c r="F231" s="286" t="s">
        <v>431</v>
      </c>
    </row>
    <row r="232" spans="2:6" ht="15" customHeight="1" x14ac:dyDescent="0.25">
      <c r="B232" s="285">
        <v>2026</v>
      </c>
      <c r="C232" s="296" t="s">
        <v>272</v>
      </c>
      <c r="D232" s="267"/>
      <c r="E232" s="286" t="s">
        <v>270</v>
      </c>
      <c r="F232" s="286" t="s">
        <v>432</v>
      </c>
    </row>
    <row r="233" spans="2:6" ht="15" customHeight="1" x14ac:dyDescent="0.25">
      <c r="B233" s="285">
        <v>2027</v>
      </c>
      <c r="C233" s="296" t="s">
        <v>272</v>
      </c>
      <c r="D233" s="267"/>
      <c r="E233" s="286" t="s">
        <v>270</v>
      </c>
      <c r="F233" s="286" t="s">
        <v>433</v>
      </c>
    </row>
    <row r="234" spans="2:6" ht="15" customHeight="1" x14ac:dyDescent="0.25">
      <c r="B234" s="285">
        <v>2028</v>
      </c>
      <c r="C234" s="296" t="s">
        <v>272</v>
      </c>
      <c r="D234" s="267"/>
      <c r="E234" s="286" t="s">
        <v>270</v>
      </c>
      <c r="F234" s="286" t="s">
        <v>434</v>
      </c>
    </row>
    <row r="235" spans="2:6" ht="15" customHeight="1" x14ac:dyDescent="0.25">
      <c r="B235" s="285">
        <v>2022</v>
      </c>
      <c r="C235" s="296" t="s">
        <v>273</v>
      </c>
      <c r="D235" s="293">
        <v>0.10637694721086439</v>
      </c>
      <c r="E235" s="286" t="s">
        <v>270</v>
      </c>
      <c r="F235" s="286" t="s">
        <v>485</v>
      </c>
    </row>
    <row r="236" spans="2:6" ht="15" customHeight="1" x14ac:dyDescent="0.25">
      <c r="B236" s="285">
        <v>2023</v>
      </c>
      <c r="C236" s="296" t="s">
        <v>273</v>
      </c>
      <c r="D236" s="293">
        <v>8.8439611677198327E-2</v>
      </c>
      <c r="E236" s="286" t="s">
        <v>270</v>
      </c>
      <c r="F236" s="286" t="s">
        <v>417</v>
      </c>
    </row>
    <row r="237" spans="2:6" ht="15" customHeight="1" x14ac:dyDescent="0.25">
      <c r="B237" s="285">
        <v>2024</v>
      </c>
      <c r="C237" s="296" t="s">
        <v>273</v>
      </c>
      <c r="D237" s="293">
        <v>9.018525888774255E-2</v>
      </c>
      <c r="E237" s="286" t="s">
        <v>270</v>
      </c>
      <c r="F237" s="286" t="s">
        <v>418</v>
      </c>
    </row>
    <row r="238" spans="2:6" ht="15" customHeight="1" x14ac:dyDescent="0.25">
      <c r="B238" s="285">
        <v>2025</v>
      </c>
      <c r="C238" s="296" t="s">
        <v>273</v>
      </c>
      <c r="D238" s="267"/>
      <c r="E238" s="286" t="s">
        <v>270</v>
      </c>
      <c r="F238" s="286" t="s">
        <v>419</v>
      </c>
    </row>
    <row r="239" spans="2:6" ht="15" customHeight="1" x14ac:dyDescent="0.25">
      <c r="B239" s="285">
        <v>2026</v>
      </c>
      <c r="C239" s="296" t="s">
        <v>273</v>
      </c>
      <c r="D239" s="267"/>
      <c r="E239" s="286" t="s">
        <v>270</v>
      </c>
      <c r="F239" s="286" t="s">
        <v>420</v>
      </c>
    </row>
    <row r="240" spans="2:6" ht="15" customHeight="1" x14ac:dyDescent="0.25">
      <c r="B240" s="285">
        <v>2027</v>
      </c>
      <c r="C240" s="296" t="s">
        <v>273</v>
      </c>
      <c r="D240" s="267"/>
      <c r="E240" s="286" t="s">
        <v>270</v>
      </c>
      <c r="F240" s="286" t="s">
        <v>421</v>
      </c>
    </row>
    <row r="241" spans="2:6" ht="15" customHeight="1" x14ac:dyDescent="0.25">
      <c r="B241" s="285">
        <v>2028</v>
      </c>
      <c r="C241" s="296" t="s">
        <v>273</v>
      </c>
      <c r="D241" s="267"/>
      <c r="E241" s="286" t="s">
        <v>270</v>
      </c>
      <c r="F241" s="286" t="s">
        <v>422</v>
      </c>
    </row>
    <row r="242" spans="2:6" ht="15" customHeight="1" x14ac:dyDescent="0.25">
      <c r="C242" s="296" t="s">
        <v>274</v>
      </c>
      <c r="D242" s="303">
        <v>0</v>
      </c>
      <c r="E242" s="286" t="s">
        <v>270</v>
      </c>
      <c r="F242" s="286" t="s">
        <v>265</v>
      </c>
    </row>
    <row r="243" spans="2:6" ht="15" customHeight="1" x14ac:dyDescent="0.25">
      <c r="B243" s="285">
        <v>2022</v>
      </c>
      <c r="C243" s="296" t="s">
        <v>275</v>
      </c>
      <c r="D243" s="302">
        <v>8.2569295647856603E-2</v>
      </c>
      <c r="E243" s="286" t="s">
        <v>270</v>
      </c>
      <c r="F243" s="286" t="s">
        <v>488</v>
      </c>
    </row>
    <row r="244" spans="2:6" ht="15" customHeight="1" x14ac:dyDescent="0.25">
      <c r="B244" s="285">
        <v>2023</v>
      </c>
      <c r="C244" s="296" t="s">
        <v>275</v>
      </c>
      <c r="D244" s="302">
        <v>5.937865974471937E-2</v>
      </c>
      <c r="E244" s="286" t="s">
        <v>270</v>
      </c>
      <c r="F244" s="286" t="s">
        <v>435</v>
      </c>
    </row>
    <row r="245" spans="2:6" ht="15" customHeight="1" x14ac:dyDescent="0.25">
      <c r="B245" s="285">
        <v>2024</v>
      </c>
      <c r="C245" s="296" t="s">
        <v>275</v>
      </c>
      <c r="D245" s="293">
        <v>5.6482525113800496E-2</v>
      </c>
      <c r="E245" s="286" t="s">
        <v>270</v>
      </c>
      <c r="F245" s="286" t="s">
        <v>436</v>
      </c>
    </row>
    <row r="246" spans="2:6" ht="15" customHeight="1" x14ac:dyDescent="0.25">
      <c r="B246" s="285">
        <v>2025</v>
      </c>
      <c r="C246" s="296" t="s">
        <v>275</v>
      </c>
      <c r="D246" s="267"/>
      <c r="E246" s="286" t="s">
        <v>270</v>
      </c>
      <c r="F246" s="286" t="s">
        <v>437</v>
      </c>
    </row>
    <row r="247" spans="2:6" ht="15" customHeight="1" x14ac:dyDescent="0.25">
      <c r="B247" s="285">
        <v>2026</v>
      </c>
      <c r="C247" s="296" t="s">
        <v>275</v>
      </c>
      <c r="D247" s="267"/>
      <c r="E247" s="286" t="s">
        <v>270</v>
      </c>
      <c r="F247" s="286" t="s">
        <v>438</v>
      </c>
    </row>
    <row r="248" spans="2:6" ht="15" customHeight="1" x14ac:dyDescent="0.25">
      <c r="B248" s="285">
        <v>2027</v>
      </c>
      <c r="C248" s="296" t="s">
        <v>275</v>
      </c>
      <c r="D248" s="267"/>
      <c r="E248" s="286" t="s">
        <v>270</v>
      </c>
      <c r="F248" s="286" t="s">
        <v>439</v>
      </c>
    </row>
    <row r="249" spans="2:6" ht="15" customHeight="1" x14ac:dyDescent="0.25">
      <c r="B249" s="285">
        <v>2028</v>
      </c>
      <c r="C249" s="296" t="s">
        <v>275</v>
      </c>
      <c r="D249" s="267"/>
      <c r="E249" s="286" t="s">
        <v>270</v>
      </c>
      <c r="F249" s="286" t="s">
        <v>440</v>
      </c>
    </row>
    <row r="250" spans="2:6" ht="15" customHeight="1" x14ac:dyDescent="0.25">
      <c r="B250" s="285">
        <v>2022</v>
      </c>
      <c r="C250" s="296" t="s">
        <v>276</v>
      </c>
      <c r="D250" s="302">
        <v>1.8738000000000001E-2</v>
      </c>
      <c r="E250" s="286" t="s">
        <v>270</v>
      </c>
      <c r="F250" s="286" t="s">
        <v>489</v>
      </c>
    </row>
    <row r="251" spans="2:6" ht="15" customHeight="1" x14ac:dyDescent="0.25">
      <c r="B251" s="285">
        <v>2023</v>
      </c>
      <c r="C251" s="296" t="s">
        <v>276</v>
      </c>
      <c r="D251" s="302">
        <v>1.8710813959731544E-2</v>
      </c>
      <c r="E251" s="286" t="s">
        <v>270</v>
      </c>
      <c r="F251" s="286" t="s">
        <v>277</v>
      </c>
    </row>
    <row r="252" spans="2:6" ht="15" customHeight="1" x14ac:dyDescent="0.25">
      <c r="B252" s="285">
        <v>2024</v>
      </c>
      <c r="C252" s="296" t="s">
        <v>276</v>
      </c>
      <c r="D252" s="302">
        <v>1.8710000000000001E-2</v>
      </c>
      <c r="E252" s="286" t="s">
        <v>270</v>
      </c>
      <c r="F252" s="286" t="s">
        <v>278</v>
      </c>
    </row>
    <row r="253" spans="2:6" ht="15" customHeight="1" x14ac:dyDescent="0.25">
      <c r="B253" s="285">
        <v>2025</v>
      </c>
      <c r="C253" s="296" t="s">
        <v>276</v>
      </c>
      <c r="D253" s="267"/>
      <c r="E253" s="286" t="s">
        <v>270</v>
      </c>
      <c r="F253" s="286" t="s">
        <v>279</v>
      </c>
    </row>
    <row r="254" spans="2:6" ht="15" customHeight="1" x14ac:dyDescent="0.25">
      <c r="B254" s="285">
        <v>2026</v>
      </c>
      <c r="C254" s="296" t="s">
        <v>276</v>
      </c>
      <c r="D254" s="267"/>
      <c r="E254" s="286" t="s">
        <v>270</v>
      </c>
      <c r="F254" s="286" t="s">
        <v>280</v>
      </c>
    </row>
    <row r="255" spans="2:6" ht="15" customHeight="1" x14ac:dyDescent="0.25">
      <c r="B255" s="285">
        <v>2027</v>
      </c>
      <c r="C255" s="296" t="s">
        <v>276</v>
      </c>
      <c r="D255" s="267"/>
      <c r="E255" s="286" t="s">
        <v>270</v>
      </c>
      <c r="F255" s="286" t="s">
        <v>281</v>
      </c>
    </row>
    <row r="256" spans="2:6" ht="15" customHeight="1" x14ac:dyDescent="0.25">
      <c r="B256" s="285">
        <v>2028</v>
      </c>
      <c r="C256" s="296" t="s">
        <v>276</v>
      </c>
      <c r="D256" s="267"/>
      <c r="E256" s="286" t="s">
        <v>270</v>
      </c>
      <c r="F256" s="286" t="s">
        <v>282</v>
      </c>
    </row>
    <row r="257" spans="2:6" ht="15" customHeight="1" x14ac:dyDescent="0.25">
      <c r="B257" s="285">
        <v>2022</v>
      </c>
      <c r="C257" s="296" t="s">
        <v>283</v>
      </c>
      <c r="D257" s="531">
        <v>0.15353000000000003</v>
      </c>
      <c r="E257" s="287" t="s">
        <v>284</v>
      </c>
      <c r="F257" s="287" t="s">
        <v>490</v>
      </c>
    </row>
    <row r="258" spans="2:6" ht="15" customHeight="1" x14ac:dyDescent="0.25">
      <c r="B258" s="285">
        <v>2023</v>
      </c>
      <c r="C258" s="296" t="s">
        <v>283</v>
      </c>
      <c r="D258" s="302">
        <v>0.1859171395973154</v>
      </c>
      <c r="E258" s="286" t="s">
        <v>284</v>
      </c>
      <c r="F258" s="286" t="s">
        <v>285</v>
      </c>
    </row>
    <row r="259" spans="2:6" ht="15" customHeight="1" x14ac:dyDescent="0.25">
      <c r="B259" s="285">
        <v>2024</v>
      </c>
      <c r="C259" s="296" t="s">
        <v>283</v>
      </c>
      <c r="D259" s="302">
        <v>0.18592</v>
      </c>
      <c r="E259" s="286" t="s">
        <v>284</v>
      </c>
      <c r="F259" s="286" t="s">
        <v>286</v>
      </c>
    </row>
    <row r="260" spans="2:6" ht="15" customHeight="1" x14ac:dyDescent="0.25">
      <c r="B260" s="285">
        <v>2025</v>
      </c>
      <c r="C260" s="296" t="s">
        <v>283</v>
      </c>
      <c r="D260" s="267"/>
      <c r="E260" s="286" t="s">
        <v>284</v>
      </c>
      <c r="F260" s="286" t="s">
        <v>287</v>
      </c>
    </row>
    <row r="261" spans="2:6" ht="15" customHeight="1" x14ac:dyDescent="0.25">
      <c r="B261" s="285">
        <v>2026</v>
      </c>
      <c r="C261" s="296" t="s">
        <v>283</v>
      </c>
      <c r="D261" s="267"/>
      <c r="E261" s="286" t="s">
        <v>284</v>
      </c>
      <c r="F261" s="286" t="s">
        <v>288</v>
      </c>
    </row>
    <row r="262" spans="2:6" ht="15" customHeight="1" x14ac:dyDescent="0.25">
      <c r="B262" s="285">
        <v>2027</v>
      </c>
      <c r="C262" s="296" t="s">
        <v>283</v>
      </c>
      <c r="D262" s="267"/>
      <c r="E262" s="286" t="s">
        <v>284</v>
      </c>
      <c r="F262" s="286" t="s">
        <v>289</v>
      </c>
    </row>
    <row r="263" spans="2:6" ht="15" customHeight="1" x14ac:dyDescent="0.25">
      <c r="B263" s="285">
        <v>2028</v>
      </c>
      <c r="C263" s="296" t="s">
        <v>283</v>
      </c>
      <c r="D263" s="267"/>
      <c r="E263" s="286" t="s">
        <v>284</v>
      </c>
      <c r="F263" s="286" t="s">
        <v>290</v>
      </c>
    </row>
    <row r="264" spans="2:6" ht="15" customHeight="1" x14ac:dyDescent="0.25">
      <c r="B264" s="327"/>
      <c r="C264" s="286" t="s">
        <v>291</v>
      </c>
      <c r="D264" s="304">
        <v>0</v>
      </c>
      <c r="E264" s="286" t="s">
        <v>270</v>
      </c>
      <c r="F264" s="286" t="s">
        <v>265</v>
      </c>
    </row>
    <row r="265" spans="2:6" ht="15" customHeight="1" x14ac:dyDescent="0.25">
      <c r="B265" s="327"/>
      <c r="C265" s="286" t="s">
        <v>135</v>
      </c>
      <c r="D265" s="304">
        <v>0</v>
      </c>
      <c r="E265" s="286" t="s">
        <v>292</v>
      </c>
      <c r="F265" s="286" t="s">
        <v>265</v>
      </c>
    </row>
    <row r="266" spans="2:6" ht="15" customHeight="1" x14ac:dyDescent="0.25">
      <c r="B266" s="285">
        <v>2022</v>
      </c>
      <c r="C266" s="287" t="s">
        <v>293</v>
      </c>
      <c r="D266" s="302">
        <f>segajääk_2022*0.0124</f>
        <v>7.8987999999999992E-3</v>
      </c>
      <c r="E266" s="285" t="s">
        <v>260</v>
      </c>
      <c r="F266" s="286" t="s">
        <v>294</v>
      </c>
    </row>
    <row r="267" spans="2:6" ht="15" customHeight="1" x14ac:dyDescent="0.25">
      <c r="B267" s="285">
        <v>2023</v>
      </c>
      <c r="C267" s="287" t="s">
        <v>293</v>
      </c>
      <c r="D267" s="302">
        <f>segajääk_2023*0.0124</f>
        <v>8.8682320000000002E-3</v>
      </c>
      <c r="E267" s="285" t="s">
        <v>260</v>
      </c>
      <c r="F267" s="286" t="s">
        <v>294</v>
      </c>
    </row>
    <row r="268" spans="2:6" ht="15" customHeight="1" x14ac:dyDescent="0.25">
      <c r="B268" s="285">
        <v>2024</v>
      </c>
      <c r="C268" s="287" t="s">
        <v>293</v>
      </c>
      <c r="D268" s="302">
        <f>segajääk_2024*0.0124</f>
        <v>8.8245839999999999E-3</v>
      </c>
      <c r="E268" s="285" t="s">
        <v>260</v>
      </c>
      <c r="F268" s="286" t="s">
        <v>294</v>
      </c>
    </row>
    <row r="269" spans="2:6" ht="15" customHeight="1" x14ac:dyDescent="0.25">
      <c r="B269" s="285">
        <v>2025</v>
      </c>
      <c r="C269" s="287" t="s">
        <v>293</v>
      </c>
      <c r="D269" s="302">
        <f>segajääk_2025*0.0124</f>
        <v>0</v>
      </c>
      <c r="E269" s="285" t="s">
        <v>260</v>
      </c>
      <c r="F269" s="286" t="s">
        <v>294</v>
      </c>
    </row>
    <row r="270" spans="2:6" ht="15" customHeight="1" x14ac:dyDescent="0.25">
      <c r="B270" s="285">
        <v>2026</v>
      </c>
      <c r="C270" s="287" t="s">
        <v>293</v>
      </c>
      <c r="D270" s="302">
        <f>segajääk_2026*0.0124</f>
        <v>0</v>
      </c>
      <c r="E270" s="285" t="s">
        <v>260</v>
      </c>
      <c r="F270" s="286" t="s">
        <v>294</v>
      </c>
    </row>
    <row r="271" spans="2:6" ht="15" customHeight="1" x14ac:dyDescent="0.25">
      <c r="B271" s="285">
        <v>2027</v>
      </c>
      <c r="C271" s="287" t="s">
        <v>293</v>
      </c>
      <c r="D271" s="302">
        <f>segajääk_2027*0.0124</f>
        <v>0</v>
      </c>
      <c r="E271" s="285" t="s">
        <v>260</v>
      </c>
      <c r="F271" s="286" t="s">
        <v>294</v>
      </c>
    </row>
    <row r="272" spans="2:6" ht="15" customHeight="1" x14ac:dyDescent="0.25">
      <c r="B272" s="285">
        <v>2028</v>
      </c>
      <c r="C272" s="287" t="s">
        <v>293</v>
      </c>
      <c r="D272" s="302">
        <f>segajääk_2028*0.0124</f>
        <v>0</v>
      </c>
      <c r="E272" s="285" t="s">
        <v>260</v>
      </c>
      <c r="F272" s="286" t="s">
        <v>294</v>
      </c>
    </row>
    <row r="273" spans="2:6" ht="15" customHeight="1" x14ac:dyDescent="0.25">
      <c r="B273" s="327"/>
      <c r="C273" s="296" t="s">
        <v>295</v>
      </c>
      <c r="D273" s="302">
        <v>0</v>
      </c>
      <c r="E273" s="285" t="s">
        <v>260</v>
      </c>
      <c r="F273" s="286" t="s">
        <v>265</v>
      </c>
    </row>
    <row r="274" spans="2:6" ht="15" customHeight="1" x14ac:dyDescent="0.25">
      <c r="B274" s="327"/>
      <c r="C274" s="296" t="s">
        <v>296</v>
      </c>
      <c r="D274" s="267">
        <v>0</v>
      </c>
      <c r="E274" s="286" t="s">
        <v>292</v>
      </c>
      <c r="F274" s="318" t="s">
        <v>297</v>
      </c>
    </row>
    <row r="275" spans="2:6" ht="15" customHeight="1" x14ac:dyDescent="0.25">
      <c r="D275" s="2"/>
    </row>
    <row r="276" spans="2:6" ht="15" customHeight="1" x14ac:dyDescent="0.25">
      <c r="D276" s="2"/>
    </row>
    <row r="277" spans="2:6" ht="15" customHeight="1" x14ac:dyDescent="0.25">
      <c r="B277" s="477" t="s">
        <v>298</v>
      </c>
      <c r="C277" s="478"/>
      <c r="D277" s="305"/>
      <c r="E277" s="306"/>
      <c r="F277" s="2"/>
    </row>
    <row r="278" spans="2:6" ht="15" customHeight="1" x14ac:dyDescent="0.25">
      <c r="B278" s="480" t="s">
        <v>194</v>
      </c>
      <c r="C278" s="480" t="s">
        <v>258</v>
      </c>
      <c r="D278" s="497" t="s">
        <v>196</v>
      </c>
      <c r="E278" s="481" t="s">
        <v>197</v>
      </c>
      <c r="F278" s="484" t="s">
        <v>198</v>
      </c>
    </row>
    <row r="279" spans="2:6" ht="15" customHeight="1" x14ac:dyDescent="0.25">
      <c r="B279" s="285">
        <v>2022</v>
      </c>
      <c r="C279" s="286" t="s">
        <v>299</v>
      </c>
      <c r="D279" s="307">
        <v>0.23108569800628181</v>
      </c>
      <c r="E279" s="286" t="s">
        <v>260</v>
      </c>
      <c r="F279" s="286" t="s">
        <v>482</v>
      </c>
    </row>
    <row r="280" spans="2:6" ht="15" customHeight="1" x14ac:dyDescent="0.25">
      <c r="B280" s="285">
        <v>2023</v>
      </c>
      <c r="C280" s="286" t="s">
        <v>299</v>
      </c>
      <c r="D280" s="307">
        <v>0.23222495830655096</v>
      </c>
      <c r="E280" s="286" t="s">
        <v>260</v>
      </c>
      <c r="F280" s="286" t="s">
        <v>409</v>
      </c>
    </row>
    <row r="281" spans="2:6" ht="15" customHeight="1" x14ac:dyDescent="0.25">
      <c r="B281" s="285">
        <v>2024</v>
      </c>
      <c r="C281" s="286" t="s">
        <v>299</v>
      </c>
      <c r="D281" s="307">
        <v>0.20855778494773294</v>
      </c>
      <c r="E281" s="286" t="s">
        <v>260</v>
      </c>
      <c r="F281" s="286" t="s">
        <v>405</v>
      </c>
    </row>
    <row r="282" spans="2:6" ht="15" customHeight="1" x14ac:dyDescent="0.25">
      <c r="B282" s="285">
        <v>2025</v>
      </c>
      <c r="C282" s="286" t="s">
        <v>299</v>
      </c>
      <c r="D282" s="307"/>
      <c r="E282" s="286" t="s">
        <v>260</v>
      </c>
      <c r="F282" s="286" t="s">
        <v>402</v>
      </c>
    </row>
    <row r="283" spans="2:6" ht="15" customHeight="1" x14ac:dyDescent="0.25">
      <c r="B283" s="285">
        <v>2026</v>
      </c>
      <c r="C283" s="286" t="s">
        <v>299</v>
      </c>
      <c r="D283" s="307"/>
      <c r="E283" s="286" t="s">
        <v>260</v>
      </c>
      <c r="F283" s="286" t="s">
        <v>403</v>
      </c>
    </row>
    <row r="284" spans="2:6" ht="15" customHeight="1" x14ac:dyDescent="0.25">
      <c r="B284" s="285">
        <v>2027</v>
      </c>
      <c r="C284" s="286" t="s">
        <v>299</v>
      </c>
      <c r="D284" s="307"/>
      <c r="E284" s="286" t="s">
        <v>260</v>
      </c>
      <c r="F284" s="286" t="s">
        <v>404</v>
      </c>
    </row>
    <row r="285" spans="2:6" ht="15" customHeight="1" x14ac:dyDescent="0.25">
      <c r="B285" s="285">
        <v>2028</v>
      </c>
      <c r="C285" s="286" t="s">
        <v>299</v>
      </c>
      <c r="D285" s="307"/>
      <c r="E285" s="286" t="s">
        <v>260</v>
      </c>
      <c r="F285" s="286" t="s">
        <v>400</v>
      </c>
    </row>
    <row r="286" spans="2:6" ht="15" customHeight="1" x14ac:dyDescent="0.25">
      <c r="B286" s="285">
        <v>2022</v>
      </c>
      <c r="C286" s="296" t="s">
        <v>300</v>
      </c>
      <c r="D286" s="293">
        <f>transport_kaubik_bensiin_km_2022/1.2</f>
        <v>0.19257141500523486</v>
      </c>
      <c r="E286" s="286" t="s">
        <v>301</v>
      </c>
      <c r="F286" s="286" t="s">
        <v>302</v>
      </c>
    </row>
    <row r="287" spans="2:6" ht="15" customHeight="1" x14ac:dyDescent="0.25">
      <c r="B287" s="285">
        <v>2023</v>
      </c>
      <c r="C287" s="296" t="s">
        <v>300</v>
      </c>
      <c r="D287" s="293">
        <f>transport_kaubik_bensiin_km_2023/1.2</f>
        <v>0.19352079858879248</v>
      </c>
      <c r="E287" s="286" t="s">
        <v>301</v>
      </c>
      <c r="F287" s="286" t="s">
        <v>302</v>
      </c>
    </row>
    <row r="288" spans="2:6" ht="15" customHeight="1" x14ac:dyDescent="0.25">
      <c r="B288" s="285">
        <v>2024</v>
      </c>
      <c r="C288" s="296" t="s">
        <v>300</v>
      </c>
      <c r="D288" s="293">
        <f>transport_kaubik_bensiin_km_2024/1.2</f>
        <v>0.17379815412311078</v>
      </c>
      <c r="E288" s="286" t="s">
        <v>301</v>
      </c>
      <c r="F288" s="286" t="s">
        <v>302</v>
      </c>
    </row>
    <row r="289" spans="2:6" ht="15" customHeight="1" x14ac:dyDescent="0.25">
      <c r="B289" s="285">
        <v>2025</v>
      </c>
      <c r="C289" s="296" t="s">
        <v>300</v>
      </c>
      <c r="D289" s="293">
        <f>transport_kaubik_bensiin_km_2025/1.2</f>
        <v>0</v>
      </c>
      <c r="E289" s="286" t="s">
        <v>301</v>
      </c>
      <c r="F289" s="286" t="s">
        <v>302</v>
      </c>
    </row>
    <row r="290" spans="2:6" ht="15" customHeight="1" x14ac:dyDescent="0.25">
      <c r="B290" s="285">
        <v>2026</v>
      </c>
      <c r="C290" s="296" t="s">
        <v>300</v>
      </c>
      <c r="D290" s="293">
        <f>transport_kaubik_bensiin_km_2026/1.2</f>
        <v>0</v>
      </c>
      <c r="E290" s="286" t="s">
        <v>301</v>
      </c>
      <c r="F290" s="286" t="s">
        <v>302</v>
      </c>
    </row>
    <row r="291" spans="2:6" ht="15" customHeight="1" x14ac:dyDescent="0.25">
      <c r="B291" s="285">
        <v>2027</v>
      </c>
      <c r="C291" s="296" t="s">
        <v>300</v>
      </c>
      <c r="D291" s="293">
        <f>transport_kaubik_bensiin_km_2027/1.2</f>
        <v>0</v>
      </c>
      <c r="E291" s="286" t="s">
        <v>301</v>
      </c>
      <c r="F291" s="286" t="s">
        <v>302</v>
      </c>
    </row>
    <row r="292" spans="2:6" ht="15" customHeight="1" x14ac:dyDescent="0.25">
      <c r="B292" s="285">
        <v>2028</v>
      </c>
      <c r="C292" s="296" t="s">
        <v>300</v>
      </c>
      <c r="D292" s="293">
        <f>transport_kaubik_bensiin_km_2028/1.2</f>
        <v>0</v>
      </c>
      <c r="E292" s="286" t="s">
        <v>301</v>
      </c>
      <c r="F292" s="286" t="s">
        <v>302</v>
      </c>
    </row>
    <row r="293" spans="2:6" ht="15" customHeight="1" x14ac:dyDescent="0.25">
      <c r="B293" s="285">
        <v>2022</v>
      </c>
      <c r="C293" s="296" t="s">
        <v>303</v>
      </c>
      <c r="D293" s="293">
        <v>0.21482302218350141</v>
      </c>
      <c r="E293" s="286" t="s">
        <v>260</v>
      </c>
      <c r="F293" s="286" t="s">
        <v>482</v>
      </c>
    </row>
    <row r="294" spans="2:6" ht="15" customHeight="1" x14ac:dyDescent="0.25">
      <c r="B294" s="285">
        <v>2023</v>
      </c>
      <c r="C294" s="296" t="s">
        <v>303</v>
      </c>
      <c r="D294" s="293">
        <v>0.23138392733813293</v>
      </c>
      <c r="E294" s="286" t="s">
        <v>260</v>
      </c>
      <c r="F294" s="286" t="s">
        <v>409</v>
      </c>
    </row>
    <row r="295" spans="2:6" ht="15" customHeight="1" x14ac:dyDescent="0.25">
      <c r="B295" s="285">
        <v>2024</v>
      </c>
      <c r="C295" s="296" t="s">
        <v>303</v>
      </c>
      <c r="D295" s="293">
        <v>0.21970497654363919</v>
      </c>
      <c r="E295" s="286" t="s">
        <v>260</v>
      </c>
      <c r="F295" s="286" t="s">
        <v>405</v>
      </c>
    </row>
    <row r="296" spans="2:6" ht="15" customHeight="1" x14ac:dyDescent="0.25">
      <c r="B296" s="285">
        <v>2025</v>
      </c>
      <c r="C296" s="296" t="s">
        <v>303</v>
      </c>
      <c r="D296" s="293"/>
      <c r="E296" s="286" t="s">
        <v>260</v>
      </c>
      <c r="F296" s="286" t="s">
        <v>402</v>
      </c>
    </row>
    <row r="297" spans="2:6" ht="15" customHeight="1" x14ac:dyDescent="0.25">
      <c r="B297" s="285">
        <v>2026</v>
      </c>
      <c r="C297" s="296" t="s">
        <v>303</v>
      </c>
      <c r="D297" s="293"/>
      <c r="E297" s="286" t="s">
        <v>260</v>
      </c>
      <c r="F297" s="286" t="s">
        <v>403</v>
      </c>
    </row>
    <row r="298" spans="2:6" ht="15" customHeight="1" x14ac:dyDescent="0.25">
      <c r="B298" s="285">
        <v>2027</v>
      </c>
      <c r="C298" s="296" t="s">
        <v>303</v>
      </c>
      <c r="D298" s="293"/>
      <c r="E298" s="286" t="s">
        <v>260</v>
      </c>
      <c r="F298" s="286" t="s">
        <v>404</v>
      </c>
    </row>
    <row r="299" spans="2:6" ht="15" customHeight="1" x14ac:dyDescent="0.25">
      <c r="B299" s="285">
        <v>2028</v>
      </c>
      <c r="C299" s="296" t="s">
        <v>303</v>
      </c>
      <c r="D299" s="293"/>
      <c r="E299" s="286" t="s">
        <v>260</v>
      </c>
      <c r="F299" s="286" t="s">
        <v>400</v>
      </c>
    </row>
    <row r="300" spans="2:6" ht="15" customHeight="1" x14ac:dyDescent="0.25">
      <c r="B300" s="285">
        <v>2022</v>
      </c>
      <c r="C300" s="296" t="s">
        <v>304</v>
      </c>
      <c r="D300" s="293">
        <f>transport_kaubik_diisel_km_2022/1.2</f>
        <v>0.17901918515291784</v>
      </c>
      <c r="E300" s="286" t="s">
        <v>301</v>
      </c>
      <c r="F300" s="286" t="s">
        <v>302</v>
      </c>
    </row>
    <row r="301" spans="2:6" ht="15" customHeight="1" x14ac:dyDescent="0.25">
      <c r="B301" s="285">
        <v>2023</v>
      </c>
      <c r="C301" s="296" t="s">
        <v>304</v>
      </c>
      <c r="D301" s="293">
        <f>transport_kaubik_diisel_km_2023/1.2</f>
        <v>0.19281993944844411</v>
      </c>
      <c r="E301" s="286" t="s">
        <v>301</v>
      </c>
      <c r="F301" s="286" t="s">
        <v>302</v>
      </c>
    </row>
    <row r="302" spans="2:6" ht="15" customHeight="1" x14ac:dyDescent="0.25">
      <c r="B302" s="285">
        <v>2024</v>
      </c>
      <c r="C302" s="296" t="s">
        <v>304</v>
      </c>
      <c r="D302" s="293">
        <f>transport_kaubik_diisel_km_2024/1.2</f>
        <v>0.18308748045303266</v>
      </c>
      <c r="E302" s="286" t="s">
        <v>301</v>
      </c>
      <c r="F302" s="286" t="s">
        <v>302</v>
      </c>
    </row>
    <row r="303" spans="2:6" ht="15" customHeight="1" x14ac:dyDescent="0.25">
      <c r="B303" s="285">
        <v>2025</v>
      </c>
      <c r="C303" s="296" t="s">
        <v>304</v>
      </c>
      <c r="D303" s="293">
        <f>transport_kaubik_diisel_km_2025/1.2</f>
        <v>0</v>
      </c>
      <c r="E303" s="286" t="s">
        <v>301</v>
      </c>
      <c r="F303" s="286" t="s">
        <v>302</v>
      </c>
    </row>
    <row r="304" spans="2:6" ht="15" customHeight="1" x14ac:dyDescent="0.25">
      <c r="B304" s="285">
        <v>2026</v>
      </c>
      <c r="C304" s="296" t="s">
        <v>304</v>
      </c>
      <c r="D304" s="293">
        <f>transport_kaubik_diisel_km_2026/1.2</f>
        <v>0</v>
      </c>
      <c r="E304" s="286" t="s">
        <v>301</v>
      </c>
      <c r="F304" s="286" t="s">
        <v>302</v>
      </c>
    </row>
    <row r="305" spans="2:6" ht="15" customHeight="1" x14ac:dyDescent="0.25">
      <c r="B305" s="285">
        <v>2027</v>
      </c>
      <c r="C305" s="296" t="s">
        <v>304</v>
      </c>
      <c r="D305" s="293">
        <f>transport_kaubik_diisel_km_2027/1.2</f>
        <v>0</v>
      </c>
      <c r="E305" s="286" t="s">
        <v>301</v>
      </c>
      <c r="F305" s="286" t="s">
        <v>302</v>
      </c>
    </row>
    <row r="306" spans="2:6" ht="15" customHeight="1" x14ac:dyDescent="0.25">
      <c r="B306" s="285">
        <v>2028</v>
      </c>
      <c r="C306" s="296" t="s">
        <v>304</v>
      </c>
      <c r="D306" s="293">
        <f>transport_kaubik_diisel_km_2028/1.2</f>
        <v>0</v>
      </c>
      <c r="E306" s="286" t="s">
        <v>301</v>
      </c>
      <c r="F306" s="286" t="s">
        <v>302</v>
      </c>
    </row>
    <row r="307" spans="2:6" ht="15" customHeight="1" x14ac:dyDescent="0.25">
      <c r="C307" s="296" t="s">
        <v>305</v>
      </c>
      <c r="D307" s="293">
        <v>0</v>
      </c>
      <c r="E307" s="286" t="s">
        <v>260</v>
      </c>
      <c r="F307" s="286" t="s">
        <v>265</v>
      </c>
    </row>
    <row r="308" spans="2:6" ht="15" customHeight="1" x14ac:dyDescent="0.25">
      <c r="C308" s="296" t="s">
        <v>306</v>
      </c>
      <c r="D308" s="293">
        <v>0</v>
      </c>
      <c r="E308" s="286" t="s">
        <v>301</v>
      </c>
      <c r="F308" s="286" t="s">
        <v>265</v>
      </c>
    </row>
    <row r="309" spans="2:6" ht="15" customHeight="1" x14ac:dyDescent="0.25">
      <c r="B309" s="285">
        <v>2022</v>
      </c>
      <c r="C309" s="296" t="s">
        <v>307</v>
      </c>
      <c r="D309" s="293">
        <f>segajääk_2022*0.25</f>
        <v>0.15925</v>
      </c>
      <c r="E309" s="286" t="s">
        <v>260</v>
      </c>
      <c r="F309" s="286" t="s">
        <v>308</v>
      </c>
    </row>
    <row r="310" spans="2:6" ht="15" customHeight="1" x14ac:dyDescent="0.25">
      <c r="B310" s="285">
        <v>2023</v>
      </c>
      <c r="C310" s="296" t="s">
        <v>307</v>
      </c>
      <c r="D310" s="293">
        <f>segajääk_2023*0.25</f>
        <v>0.17879500000000001</v>
      </c>
      <c r="E310" s="286" t="s">
        <v>260</v>
      </c>
      <c r="F310" s="286" t="s">
        <v>308</v>
      </c>
    </row>
    <row r="311" spans="2:6" ht="15" customHeight="1" x14ac:dyDescent="0.25">
      <c r="B311" s="285">
        <v>2024</v>
      </c>
      <c r="C311" s="296" t="s">
        <v>307</v>
      </c>
      <c r="D311" s="293">
        <f>segajääk_2024*0.25</f>
        <v>0.17791499999999999</v>
      </c>
      <c r="E311" s="286" t="s">
        <v>260</v>
      </c>
      <c r="F311" s="286" t="s">
        <v>308</v>
      </c>
    </row>
    <row r="312" spans="2:6" ht="15" customHeight="1" x14ac:dyDescent="0.25">
      <c r="B312" s="285">
        <v>2025</v>
      </c>
      <c r="C312" s="296" t="s">
        <v>307</v>
      </c>
      <c r="D312" s="293">
        <f>segajääk_2025*0.25</f>
        <v>0</v>
      </c>
      <c r="E312" s="286" t="s">
        <v>260</v>
      </c>
      <c r="F312" s="286" t="s">
        <v>308</v>
      </c>
    </row>
    <row r="313" spans="2:6" ht="15" customHeight="1" x14ac:dyDescent="0.25">
      <c r="B313" s="285">
        <v>2026</v>
      </c>
      <c r="C313" s="296" t="s">
        <v>307</v>
      </c>
      <c r="D313" s="293">
        <f>segajääk_2026*0.25</f>
        <v>0</v>
      </c>
      <c r="E313" s="286" t="s">
        <v>260</v>
      </c>
      <c r="F313" s="286" t="s">
        <v>308</v>
      </c>
    </row>
    <row r="314" spans="2:6" ht="15" customHeight="1" x14ac:dyDescent="0.25">
      <c r="B314" s="285">
        <v>2027</v>
      </c>
      <c r="C314" s="296" t="s">
        <v>307</v>
      </c>
      <c r="D314" s="293">
        <f>segajääk_2027*0.25</f>
        <v>0</v>
      </c>
      <c r="E314" s="286" t="s">
        <v>260</v>
      </c>
      <c r="F314" s="286" t="s">
        <v>308</v>
      </c>
    </row>
    <row r="315" spans="2:6" ht="15" customHeight="1" x14ac:dyDescent="0.25">
      <c r="B315" s="285">
        <v>2028</v>
      </c>
      <c r="C315" s="296" t="s">
        <v>307</v>
      </c>
      <c r="D315" s="293">
        <f>segajääk_2028*0.25</f>
        <v>0</v>
      </c>
      <c r="E315" s="286" t="s">
        <v>260</v>
      </c>
      <c r="F315" s="286" t="s">
        <v>308</v>
      </c>
    </row>
    <row r="316" spans="2:6" ht="15" customHeight="1" x14ac:dyDescent="0.25">
      <c r="B316" s="285">
        <v>2022</v>
      </c>
      <c r="C316" s="296" t="s">
        <v>309</v>
      </c>
      <c r="D316" s="293">
        <f>transport_kaubik_tavaelekter_km_2022/1.2</f>
        <v>0.13270833333333334</v>
      </c>
      <c r="E316" s="286" t="s">
        <v>301</v>
      </c>
      <c r="F316" s="286" t="s">
        <v>310</v>
      </c>
    </row>
    <row r="317" spans="2:6" ht="15" customHeight="1" x14ac:dyDescent="0.25">
      <c r="B317" s="285">
        <v>2023</v>
      </c>
      <c r="C317" s="296" t="s">
        <v>309</v>
      </c>
      <c r="D317" s="293">
        <f>transport_kaubik_tavaelekter_km_2023/1.2</f>
        <v>0.14899583333333336</v>
      </c>
      <c r="E317" s="286" t="s">
        <v>301</v>
      </c>
      <c r="F317" s="286" t="s">
        <v>310</v>
      </c>
    </row>
    <row r="318" spans="2:6" ht="15" customHeight="1" x14ac:dyDescent="0.25">
      <c r="B318" s="285">
        <v>2024</v>
      </c>
      <c r="C318" s="296" t="s">
        <v>309</v>
      </c>
      <c r="D318" s="293">
        <f>transport_kaubik_tavaelekter_km_2024/1.2</f>
        <v>0.14826249999999999</v>
      </c>
      <c r="E318" s="286" t="s">
        <v>301</v>
      </c>
      <c r="F318" s="286" t="s">
        <v>310</v>
      </c>
    </row>
    <row r="319" spans="2:6" ht="15" customHeight="1" x14ac:dyDescent="0.25">
      <c r="B319" s="285">
        <v>2025</v>
      </c>
      <c r="C319" s="296" t="s">
        <v>309</v>
      </c>
      <c r="D319" s="293">
        <f>transport_kaubik_tavaelekter_km_2025/1.2</f>
        <v>0</v>
      </c>
      <c r="E319" s="286" t="s">
        <v>301</v>
      </c>
      <c r="F319" s="286" t="s">
        <v>310</v>
      </c>
    </row>
    <row r="320" spans="2:6" ht="15" customHeight="1" x14ac:dyDescent="0.25">
      <c r="B320" s="285">
        <v>2026</v>
      </c>
      <c r="C320" s="296" t="s">
        <v>309</v>
      </c>
      <c r="D320" s="293">
        <f>transport_kaubik_tavaelekter_km_2026/1.2</f>
        <v>0</v>
      </c>
      <c r="E320" s="286" t="s">
        <v>301</v>
      </c>
      <c r="F320" s="286" t="s">
        <v>310</v>
      </c>
    </row>
    <row r="321" spans="2:6" ht="15" customHeight="1" x14ac:dyDescent="0.25">
      <c r="B321" s="285">
        <v>2027</v>
      </c>
      <c r="C321" s="296" t="s">
        <v>309</v>
      </c>
      <c r="D321" s="293">
        <f>transport_kaubik_tavaelekter_km_2027/1.2</f>
        <v>0</v>
      </c>
      <c r="E321" s="286" t="s">
        <v>301</v>
      </c>
      <c r="F321" s="286" t="s">
        <v>310</v>
      </c>
    </row>
    <row r="322" spans="2:6" ht="15" customHeight="1" x14ac:dyDescent="0.25">
      <c r="B322" s="285">
        <v>2028</v>
      </c>
      <c r="C322" s="296" t="s">
        <v>309</v>
      </c>
      <c r="D322" s="293">
        <f>transport_kaubik_tavaelekter_km_2028/1.2</f>
        <v>0</v>
      </c>
      <c r="E322" s="286" t="s">
        <v>301</v>
      </c>
      <c r="F322" s="286" t="s">
        <v>310</v>
      </c>
    </row>
    <row r="323" spans="2:6" ht="15" customHeight="1" x14ac:dyDescent="0.25">
      <c r="B323" s="285">
        <v>2022</v>
      </c>
      <c r="C323" s="286" t="s">
        <v>311</v>
      </c>
      <c r="D323" s="307">
        <v>0.66140608054688732</v>
      </c>
      <c r="E323" s="286" t="s">
        <v>260</v>
      </c>
      <c r="F323" s="286" t="s">
        <v>491</v>
      </c>
    </row>
    <row r="324" spans="2:6" ht="15" customHeight="1" x14ac:dyDescent="0.25">
      <c r="B324" s="285">
        <v>2023</v>
      </c>
      <c r="C324" s="286" t="s">
        <v>311</v>
      </c>
      <c r="D324" s="294">
        <v>0.66204894143478799</v>
      </c>
      <c r="E324" s="286" t="s">
        <v>260</v>
      </c>
      <c r="F324" s="286" t="s">
        <v>441</v>
      </c>
    </row>
    <row r="325" spans="2:6" ht="15" customHeight="1" x14ac:dyDescent="0.25">
      <c r="B325" s="285">
        <v>2024</v>
      </c>
      <c r="C325" s="286" t="s">
        <v>311</v>
      </c>
      <c r="D325" s="294">
        <v>0.66221142936953203</v>
      </c>
      <c r="E325" s="286" t="s">
        <v>260</v>
      </c>
      <c r="F325" s="286" t="s">
        <v>442</v>
      </c>
    </row>
    <row r="326" spans="2:6" ht="15" customHeight="1" x14ac:dyDescent="0.25">
      <c r="B326" s="285">
        <v>2025</v>
      </c>
      <c r="C326" s="286" t="s">
        <v>311</v>
      </c>
      <c r="D326" s="267"/>
      <c r="E326" s="286" t="s">
        <v>260</v>
      </c>
      <c r="F326" s="286" t="s">
        <v>443</v>
      </c>
    </row>
    <row r="327" spans="2:6" ht="15" customHeight="1" x14ac:dyDescent="0.25">
      <c r="B327" s="285">
        <v>2026</v>
      </c>
      <c r="C327" s="286" t="s">
        <v>311</v>
      </c>
      <c r="D327" s="267"/>
      <c r="E327" s="286" t="s">
        <v>260</v>
      </c>
      <c r="F327" s="286" t="s">
        <v>444</v>
      </c>
    </row>
    <row r="328" spans="2:6" ht="15" customHeight="1" x14ac:dyDescent="0.25">
      <c r="B328" s="285">
        <v>2027</v>
      </c>
      <c r="C328" s="286" t="s">
        <v>311</v>
      </c>
      <c r="D328" s="267"/>
      <c r="E328" s="286" t="s">
        <v>260</v>
      </c>
      <c r="F328" s="286" t="s">
        <v>445</v>
      </c>
    </row>
    <row r="329" spans="2:6" ht="15" customHeight="1" x14ac:dyDescent="0.25">
      <c r="B329" s="285">
        <v>2028</v>
      </c>
      <c r="C329" s="286" t="s">
        <v>311</v>
      </c>
      <c r="D329" s="267"/>
      <c r="E329" s="286" t="s">
        <v>260</v>
      </c>
      <c r="F329" s="286" t="s">
        <v>446</v>
      </c>
    </row>
    <row r="330" spans="2:6" ht="15" customHeight="1" x14ac:dyDescent="0.25">
      <c r="B330" s="285">
        <v>2022</v>
      </c>
      <c r="C330" s="286" t="s">
        <v>312</v>
      </c>
      <c r="D330" s="307">
        <v>0.22355237510272502</v>
      </c>
      <c r="E330" s="286" t="s">
        <v>260</v>
      </c>
      <c r="F330" s="286" t="s">
        <v>492</v>
      </c>
    </row>
    <row r="331" spans="2:6" ht="15" customHeight="1" x14ac:dyDescent="0.25">
      <c r="B331" s="285">
        <v>2023</v>
      </c>
      <c r="C331" s="286" t="s">
        <v>312</v>
      </c>
      <c r="D331" s="293">
        <v>0.23144069513543036</v>
      </c>
      <c r="E331" s="286" t="s">
        <v>260</v>
      </c>
      <c r="F331" s="286" t="s">
        <v>447</v>
      </c>
    </row>
    <row r="332" spans="2:6" ht="15" customHeight="1" x14ac:dyDescent="0.25">
      <c r="B332" s="285">
        <v>2024</v>
      </c>
      <c r="C332" s="286" t="s">
        <v>312</v>
      </c>
      <c r="D332" s="293">
        <v>0.21912226020229811</v>
      </c>
      <c r="E332" s="286" t="s">
        <v>260</v>
      </c>
      <c r="F332" s="286" t="s">
        <v>448</v>
      </c>
    </row>
    <row r="333" spans="2:6" ht="15" customHeight="1" x14ac:dyDescent="0.25">
      <c r="B333" s="285">
        <v>2025</v>
      </c>
      <c r="C333" s="286" t="s">
        <v>312</v>
      </c>
      <c r="D333" s="293"/>
      <c r="E333" s="286" t="s">
        <v>260</v>
      </c>
      <c r="F333" s="286" t="s">
        <v>449</v>
      </c>
    </row>
    <row r="334" spans="2:6" ht="15" customHeight="1" x14ac:dyDescent="0.25">
      <c r="B334" s="285">
        <v>2026</v>
      </c>
      <c r="C334" s="286" t="s">
        <v>312</v>
      </c>
      <c r="D334" s="293"/>
      <c r="E334" s="286" t="s">
        <v>260</v>
      </c>
      <c r="F334" s="286" t="s">
        <v>450</v>
      </c>
    </row>
    <row r="335" spans="2:6" ht="15" customHeight="1" x14ac:dyDescent="0.25">
      <c r="B335" s="285">
        <v>2027</v>
      </c>
      <c r="C335" s="286" t="s">
        <v>312</v>
      </c>
      <c r="D335" s="293"/>
      <c r="E335" s="286" t="s">
        <v>260</v>
      </c>
      <c r="F335" s="286" t="s">
        <v>451</v>
      </c>
    </row>
    <row r="336" spans="2:6" ht="15" customHeight="1" x14ac:dyDescent="0.25">
      <c r="B336" s="285">
        <v>2028</v>
      </c>
      <c r="C336" s="286" t="s">
        <v>312</v>
      </c>
      <c r="D336" s="293"/>
      <c r="E336" s="286" t="s">
        <v>260</v>
      </c>
      <c r="F336" s="286" t="s">
        <v>452</v>
      </c>
    </row>
    <row r="339" spans="2:6" ht="15" customHeight="1" x14ac:dyDescent="0.25">
      <c r="B339" s="477" t="s">
        <v>313</v>
      </c>
      <c r="C339" s="478"/>
      <c r="E339" s="2"/>
      <c r="F339" s="2"/>
    </row>
    <row r="340" spans="2:6" ht="15" customHeight="1" x14ac:dyDescent="0.25">
      <c r="B340" s="480" t="s">
        <v>314</v>
      </c>
      <c r="C340" s="498"/>
      <c r="D340" s="481" t="s">
        <v>196</v>
      </c>
      <c r="E340" s="481" t="s">
        <v>197</v>
      </c>
      <c r="F340" s="484" t="s">
        <v>198</v>
      </c>
    </row>
    <row r="341" spans="2:6" ht="15" customHeight="1" x14ac:dyDescent="0.25">
      <c r="B341" s="285">
        <v>2022</v>
      </c>
      <c r="C341" s="298" t="s">
        <v>343</v>
      </c>
      <c r="D341" s="294">
        <v>1.45</v>
      </c>
      <c r="E341" s="286" t="s">
        <v>315</v>
      </c>
      <c r="F341" s="286" t="s">
        <v>342</v>
      </c>
    </row>
    <row r="342" spans="2:6" ht="15" customHeight="1" x14ac:dyDescent="0.25">
      <c r="B342" s="285">
        <v>2023</v>
      </c>
      <c r="C342" s="298" t="s">
        <v>343</v>
      </c>
      <c r="D342" s="294">
        <v>0.81</v>
      </c>
      <c r="E342" s="286" t="s">
        <v>315</v>
      </c>
      <c r="F342" s="286" t="s">
        <v>344</v>
      </c>
    </row>
    <row r="343" spans="2:6" ht="15" customHeight="1" x14ac:dyDescent="0.25">
      <c r="B343" s="285">
        <v>2024</v>
      </c>
      <c r="C343" s="298" t="s">
        <v>343</v>
      </c>
      <c r="D343" s="294">
        <v>0.74</v>
      </c>
      <c r="E343" s="286" t="s">
        <v>315</v>
      </c>
      <c r="F343" s="286" t="s">
        <v>345</v>
      </c>
    </row>
    <row r="344" spans="2:6" ht="15" customHeight="1" x14ac:dyDescent="0.25">
      <c r="B344" s="285">
        <v>2025</v>
      </c>
      <c r="C344" s="298" t="s">
        <v>343</v>
      </c>
      <c r="D344" s="294"/>
      <c r="E344" s="286" t="s">
        <v>315</v>
      </c>
      <c r="F344" s="286" t="s">
        <v>346</v>
      </c>
    </row>
    <row r="345" spans="2:6" ht="15" customHeight="1" x14ac:dyDescent="0.25">
      <c r="B345" s="285">
        <v>2026</v>
      </c>
      <c r="C345" s="298" t="s">
        <v>343</v>
      </c>
      <c r="D345" s="294"/>
      <c r="E345" s="286" t="s">
        <v>315</v>
      </c>
      <c r="F345" s="286" t="s">
        <v>347</v>
      </c>
    </row>
    <row r="346" spans="2:6" ht="15" customHeight="1" x14ac:dyDescent="0.25">
      <c r="B346" s="285">
        <v>2027</v>
      </c>
      <c r="C346" s="298" t="s">
        <v>343</v>
      </c>
      <c r="D346" s="294"/>
      <c r="E346" s="286" t="s">
        <v>315</v>
      </c>
      <c r="F346" s="286" t="s">
        <v>348</v>
      </c>
    </row>
    <row r="347" spans="2:6" ht="15" customHeight="1" x14ac:dyDescent="0.25">
      <c r="B347" s="285">
        <v>2028</v>
      </c>
      <c r="C347" s="298" t="s">
        <v>343</v>
      </c>
      <c r="D347" s="294"/>
      <c r="E347" s="286" t="s">
        <v>315</v>
      </c>
      <c r="F347" s="286" t="s">
        <v>349</v>
      </c>
    </row>
    <row r="348" spans="2:6" ht="15" customHeight="1" x14ac:dyDescent="0.25">
      <c r="B348" s="285">
        <v>2022</v>
      </c>
      <c r="C348" s="296" t="s">
        <v>398</v>
      </c>
      <c r="D348" s="518">
        <v>0.73939628000000002</v>
      </c>
      <c r="E348" s="285" t="s">
        <v>224</v>
      </c>
      <c r="F348" s="286" t="s">
        <v>493</v>
      </c>
    </row>
    <row r="349" spans="2:6" ht="15" customHeight="1" x14ac:dyDescent="0.25">
      <c r="B349" s="285">
        <v>2023</v>
      </c>
      <c r="C349" s="296" t="s">
        <v>398</v>
      </c>
      <c r="D349" s="518">
        <v>0.73047809780939599</v>
      </c>
      <c r="E349" s="285" t="s">
        <v>224</v>
      </c>
      <c r="F349" s="286" t="s">
        <v>317</v>
      </c>
    </row>
    <row r="350" spans="2:6" ht="15" customHeight="1" x14ac:dyDescent="0.25">
      <c r="B350" s="285">
        <v>2024</v>
      </c>
      <c r="C350" s="296" t="s">
        <v>398</v>
      </c>
      <c r="D350" s="518">
        <v>1.04431834</v>
      </c>
      <c r="E350" s="285" t="s">
        <v>224</v>
      </c>
      <c r="F350" s="286" t="s">
        <v>318</v>
      </c>
    </row>
    <row r="351" spans="2:6" ht="15" customHeight="1" x14ac:dyDescent="0.25">
      <c r="B351" s="285">
        <v>2025</v>
      </c>
      <c r="C351" s="296" t="s">
        <v>398</v>
      </c>
      <c r="D351" s="267"/>
      <c r="E351" s="285" t="s">
        <v>224</v>
      </c>
      <c r="F351" s="286" t="s">
        <v>498</v>
      </c>
    </row>
    <row r="352" spans="2:6" ht="15" customHeight="1" x14ac:dyDescent="0.25">
      <c r="B352" s="285">
        <v>2026</v>
      </c>
      <c r="C352" s="296" t="s">
        <v>398</v>
      </c>
      <c r="D352" s="327"/>
      <c r="E352" s="285" t="s">
        <v>224</v>
      </c>
      <c r="F352" s="286" t="s">
        <v>319</v>
      </c>
    </row>
    <row r="353" spans="2:6" ht="15" customHeight="1" x14ac:dyDescent="0.25">
      <c r="B353" s="285">
        <v>2027</v>
      </c>
      <c r="C353" s="296" t="s">
        <v>398</v>
      </c>
      <c r="D353" s="327"/>
      <c r="E353" s="285" t="s">
        <v>224</v>
      </c>
      <c r="F353" s="286" t="s">
        <v>320</v>
      </c>
    </row>
    <row r="354" spans="2:6" ht="15" customHeight="1" x14ac:dyDescent="0.25">
      <c r="B354" s="285">
        <v>2028</v>
      </c>
      <c r="C354" s="296" t="s">
        <v>398</v>
      </c>
      <c r="D354" s="267"/>
      <c r="E354" s="285" t="s">
        <v>224</v>
      </c>
      <c r="F354" s="286" t="s">
        <v>321</v>
      </c>
    </row>
    <row r="355" spans="2:6" ht="15" customHeight="1" x14ac:dyDescent="0.25">
      <c r="B355" s="285"/>
      <c r="C355" s="286" t="s">
        <v>462</v>
      </c>
      <c r="D355" s="293">
        <v>3.0478425559947297E-3</v>
      </c>
      <c r="E355" s="285" t="s">
        <v>463</v>
      </c>
      <c r="F355" s="286" t="s">
        <v>464</v>
      </c>
    </row>
    <row r="356" spans="2:6" ht="15" customHeight="1" x14ac:dyDescent="0.25">
      <c r="B356" s="285"/>
      <c r="C356" s="286" t="s">
        <v>465</v>
      </c>
      <c r="D356" s="293">
        <v>3.8580808080808078E-3</v>
      </c>
      <c r="E356" s="285" t="s">
        <v>466</v>
      </c>
      <c r="F356" s="286" t="s">
        <v>467</v>
      </c>
    </row>
    <row r="359" spans="2:6" ht="15" customHeight="1" x14ac:dyDescent="0.25">
      <c r="B359" s="477" t="s">
        <v>322</v>
      </c>
      <c r="C359" s="479"/>
      <c r="D359" s="309"/>
      <c r="E359" s="15"/>
      <c r="F359" s="2"/>
    </row>
    <row r="360" spans="2:6" ht="15" customHeight="1" x14ac:dyDescent="0.25">
      <c r="B360" s="480" t="s">
        <v>323</v>
      </c>
      <c r="C360" s="498"/>
      <c r="D360" s="497" t="s">
        <v>196</v>
      </c>
      <c r="E360" s="481" t="s">
        <v>197</v>
      </c>
      <c r="F360" s="484" t="s">
        <v>198</v>
      </c>
    </row>
    <row r="361" spans="2:6" ht="15" customHeight="1" x14ac:dyDescent="0.25">
      <c r="B361" s="296" t="s">
        <v>324</v>
      </c>
      <c r="C361" s="297"/>
      <c r="D361" s="310">
        <v>28.688787462174144</v>
      </c>
      <c r="E361" s="285" t="s">
        <v>316</v>
      </c>
      <c r="F361" s="286" t="s">
        <v>453</v>
      </c>
    </row>
    <row r="362" spans="2:6" ht="15" customHeight="1" x14ac:dyDescent="0.25">
      <c r="B362" s="178" t="s">
        <v>325</v>
      </c>
      <c r="C362" s="308"/>
      <c r="D362" s="310">
        <v>28.688787462174144</v>
      </c>
      <c r="E362" s="285" t="s">
        <v>316</v>
      </c>
      <c r="F362" s="286" t="s">
        <v>453</v>
      </c>
    </row>
    <row r="363" spans="2:6" ht="15" customHeight="1" x14ac:dyDescent="0.25">
      <c r="B363" s="296" t="s">
        <v>326</v>
      </c>
      <c r="C363" s="297"/>
      <c r="D363" s="310">
        <v>28.688787462174144</v>
      </c>
      <c r="E363" s="285" t="s">
        <v>316</v>
      </c>
      <c r="F363" s="286" t="s">
        <v>453</v>
      </c>
    </row>
    <row r="364" spans="2:6" ht="15" customHeight="1" x14ac:dyDescent="0.25">
      <c r="B364" s="296" t="s">
        <v>327</v>
      </c>
      <c r="C364" s="297"/>
      <c r="D364" s="310">
        <v>28.688787462174144</v>
      </c>
      <c r="E364" s="285" t="s">
        <v>316</v>
      </c>
      <c r="F364" s="286" t="s">
        <v>453</v>
      </c>
    </row>
    <row r="365" spans="2:6" ht="15" customHeight="1" x14ac:dyDescent="0.25">
      <c r="B365" s="296" t="s">
        <v>328</v>
      </c>
      <c r="C365" s="297"/>
      <c r="D365" s="310">
        <v>620</v>
      </c>
      <c r="E365" s="285" t="s">
        <v>316</v>
      </c>
      <c r="F365" s="286" t="s">
        <v>329</v>
      </c>
    </row>
    <row r="366" spans="2:6" ht="15" customHeight="1" x14ac:dyDescent="0.25">
      <c r="B366" s="296" t="s">
        <v>330</v>
      </c>
      <c r="C366" s="297"/>
      <c r="D366" s="310">
        <v>547.6887874621741</v>
      </c>
      <c r="E366" s="285" t="s">
        <v>316</v>
      </c>
      <c r="F366" s="286" t="s">
        <v>454</v>
      </c>
    </row>
    <row r="367" spans="2:6" ht="15" customHeight="1" x14ac:dyDescent="0.25">
      <c r="B367" s="2"/>
      <c r="C367" s="2"/>
      <c r="E367" s="2"/>
      <c r="F367" s="2"/>
    </row>
    <row r="368" spans="2:6" ht="15" customHeight="1" x14ac:dyDescent="0.25">
      <c r="B368" s="2"/>
      <c r="C368" s="2"/>
      <c r="E368" s="2"/>
      <c r="F368" s="2"/>
    </row>
    <row r="369" spans="2:6" ht="15" customHeight="1" x14ac:dyDescent="0.25">
      <c r="B369" s="477" t="s">
        <v>331</v>
      </c>
      <c r="C369" s="479"/>
      <c r="E369" s="2"/>
      <c r="F369" s="2"/>
    </row>
    <row r="370" spans="2:6" ht="15" customHeight="1" x14ac:dyDescent="0.25">
      <c r="B370" s="480" t="s">
        <v>332</v>
      </c>
      <c r="C370" s="498"/>
      <c r="D370" s="497" t="s">
        <v>333</v>
      </c>
      <c r="E370" s="481" t="s">
        <v>197</v>
      </c>
      <c r="F370" s="484" t="s">
        <v>198</v>
      </c>
    </row>
    <row r="371" spans="2:6" ht="15" customHeight="1" x14ac:dyDescent="0.25">
      <c r="B371" s="311" t="s">
        <v>334</v>
      </c>
      <c r="C371" s="312"/>
      <c r="D371" s="313">
        <v>140</v>
      </c>
      <c r="E371" s="286" t="s">
        <v>335</v>
      </c>
      <c r="F371" s="286" t="s">
        <v>336</v>
      </c>
    </row>
    <row r="372" spans="2:6" ht="15" customHeight="1" x14ac:dyDescent="0.25">
      <c r="B372" s="296" t="s">
        <v>337</v>
      </c>
      <c r="C372" s="297"/>
      <c r="D372" s="313">
        <v>10</v>
      </c>
      <c r="E372" s="286" t="s">
        <v>335</v>
      </c>
      <c r="F372" s="286" t="s">
        <v>336</v>
      </c>
    </row>
    <row r="373" spans="2:6" ht="15" customHeight="1" x14ac:dyDescent="0.25">
      <c r="B373" s="2"/>
      <c r="C373" s="2"/>
      <c r="E373" s="2"/>
      <c r="F373" s="2"/>
    </row>
    <row r="374" spans="2:6" ht="15" customHeight="1" x14ac:dyDescent="0.25">
      <c r="B374" s="2"/>
      <c r="C374" s="2"/>
      <c r="E374" s="2"/>
      <c r="F374" s="2"/>
    </row>
    <row r="375" spans="2:6" ht="15" customHeight="1" x14ac:dyDescent="0.25">
      <c r="B375" s="477" t="s">
        <v>187</v>
      </c>
      <c r="C375" s="479"/>
      <c r="E375" s="2"/>
      <c r="F375" s="2"/>
    </row>
    <row r="376" spans="2:6" ht="15" customHeight="1" x14ac:dyDescent="0.25">
      <c r="B376" s="480" t="s">
        <v>338</v>
      </c>
      <c r="C376" s="498"/>
      <c r="D376" s="497" t="s">
        <v>333</v>
      </c>
      <c r="E376" s="481" t="s">
        <v>197</v>
      </c>
      <c r="F376" s="2"/>
    </row>
    <row r="377" spans="2:6" ht="15" customHeight="1" x14ac:dyDescent="0.25">
      <c r="B377" s="296" t="s">
        <v>339</v>
      </c>
      <c r="C377" s="297"/>
      <c r="D377" s="313">
        <v>80</v>
      </c>
      <c r="E377" s="286" t="s">
        <v>42</v>
      </c>
      <c r="F377" s="2"/>
    </row>
    <row r="378" spans="2:6" ht="15" customHeight="1" x14ac:dyDescent="0.25">
      <c r="B378" s="296" t="s">
        <v>470</v>
      </c>
      <c r="C378" s="297"/>
      <c r="D378" s="313">
        <f>D377/16</f>
        <v>5</v>
      </c>
      <c r="E378" s="286" t="s">
        <v>42</v>
      </c>
      <c r="F378" s="2"/>
    </row>
    <row r="379" spans="2:6" ht="15" customHeight="1" x14ac:dyDescent="0.25">
      <c r="B379" s="2"/>
      <c r="C379" s="2"/>
      <c r="E379" s="2"/>
      <c r="F379" s="2"/>
    </row>
    <row r="380" spans="2:6" ht="15" customHeight="1" x14ac:dyDescent="0.25">
      <c r="B380" s="2"/>
      <c r="C380" s="2"/>
      <c r="E380" s="2"/>
      <c r="F380" s="2"/>
    </row>
    <row r="381" spans="2:6" ht="15" customHeight="1" x14ac:dyDescent="0.25">
      <c r="B381" s="2" t="s">
        <v>340</v>
      </c>
      <c r="C381" s="2"/>
      <c r="E381" s="2"/>
      <c r="F381" s="2"/>
    </row>
    <row r="382" spans="2:6" ht="15" customHeight="1" x14ac:dyDescent="0.25">
      <c r="B382" s="2" t="s">
        <v>204</v>
      </c>
      <c r="C382" s="2"/>
      <c r="E382" s="2"/>
      <c r="F382" s="2"/>
    </row>
    <row r="383" spans="2:6" ht="15" customHeight="1" x14ac:dyDescent="0.25">
      <c r="B383" s="2" t="s">
        <v>208</v>
      </c>
      <c r="C383" s="2"/>
      <c r="E383" s="2"/>
      <c r="F383" s="2"/>
    </row>
    <row r="384" spans="2:6" ht="15" customHeight="1" x14ac:dyDescent="0.25">
      <c r="B384" s="2" t="s">
        <v>211</v>
      </c>
      <c r="C384" s="2"/>
      <c r="E384" s="2"/>
      <c r="F384" s="2"/>
    </row>
    <row r="385" spans="2:6" ht="15" customHeight="1" x14ac:dyDescent="0.25">
      <c r="B385" s="2" t="s">
        <v>341</v>
      </c>
      <c r="C385" s="2"/>
      <c r="E385" s="2"/>
      <c r="F385" s="2"/>
    </row>
    <row r="387" spans="2:6" ht="15" customHeight="1" x14ac:dyDescent="0.25">
      <c r="B387" s="2" t="s">
        <v>391</v>
      </c>
    </row>
    <row r="388" spans="2:6" ht="15" customHeight="1" x14ac:dyDescent="0.25">
      <c r="B388" s="2" t="s">
        <v>213</v>
      </c>
    </row>
    <row r="389" spans="2:6" ht="15" customHeight="1" x14ac:dyDescent="0.25">
      <c r="B389" s="2" t="s">
        <v>214</v>
      </c>
    </row>
    <row r="390" spans="2:6" ht="15" customHeight="1" x14ac:dyDescent="0.25">
      <c r="B390" s="2" t="s">
        <v>215</v>
      </c>
    </row>
    <row r="391" spans="2:6" ht="15" customHeight="1" x14ac:dyDescent="0.25">
      <c r="B391" s="2" t="s">
        <v>216</v>
      </c>
    </row>
    <row r="392" spans="2:6" ht="15" customHeight="1" x14ac:dyDescent="0.25">
      <c r="B392" s="2" t="s">
        <v>217</v>
      </c>
    </row>
    <row r="1048567" spans="5:5" ht="15" customHeight="1" x14ac:dyDescent="0.25">
      <c r="E1048567">
        <f>SUM(E1:E1048566)</f>
        <v>0</v>
      </c>
    </row>
  </sheetData>
  <sortState xmlns:xlrd2="http://schemas.microsoft.com/office/spreadsheetml/2017/richdata2" ref="B148:E158">
    <sortCondition ref="B148:B158"/>
  </sortState>
  <mergeCells count="1">
    <mergeCell ref="B4:F4"/>
  </mergeCells>
  <phoneticPr fontId="43" type="noConversion"/>
  <hyperlinks>
    <hyperlink ref="B159" r:id="rId1" location="ftn2" xr:uid="{BD8653DF-49B4-4BE4-B87D-C3244238A6AF}"/>
    <hyperlink ref="B4:F4" r:id="rId2" display="KHG jalajälje arvutamise aluseks olevad eriheitetegurid põhinevad Kliimaministeeriumi poolt kinnitatud vastaval andmebaasil (https://kliimaministeerium.ee/organisatsioonide-khg-jalajalg). Suurema varieeruvusega eriheitetegurid (elektrienergia, kaugküte) on alltoodud tabelites esitatud ainult 2022. aasta kohta. Kui kasutada käesolevat mudelit järgmiste aastate jalajälje arvutamiseks, tuleks vastavate aastate kohta sisestada tabelitesse asjakohased uued eriheitetegurid (vt juhised tabelites). Ülejäänud eriheitetegurite muudatustest anname eraldi teada." xr:uid="{3223F68D-AB1F-40FC-969E-4F840100490A}"/>
  </hyperlinks>
  <pageMargins left="0.7" right="0.7" top="0.75" bottom="0.75" header="0.3" footer="0.3"/>
  <pageSetup orientation="portrait" horizontalDpi="4294967295" verticalDpi="4294967295"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B5836B143DC4489B22C23BC79EF2DD" ma:contentTypeVersion="18" ma:contentTypeDescription="Loo uus dokument" ma:contentTypeScope="" ma:versionID="d77314b3ff04e8b03c4d508e84cb824b">
  <xsd:schema xmlns:xsd="http://www.w3.org/2001/XMLSchema" xmlns:xs="http://www.w3.org/2001/XMLSchema" xmlns:p="http://schemas.microsoft.com/office/2006/metadata/properties" xmlns:ns2="51bd50d0-d8f0-4351-bcc9-bc0089db6ffe" xmlns:ns3="0e000f76-03c3-4a6d-ba20-82435f178b63" targetNamespace="http://schemas.microsoft.com/office/2006/metadata/properties" ma:root="true" ma:fieldsID="f4e132b63bbd97580cce2ff737f2efdb" ns2:_="" ns3:_="">
    <xsd:import namespace="51bd50d0-d8f0-4351-bcc9-bc0089db6ffe"/>
    <xsd:import namespace="0e000f76-03c3-4a6d-ba20-82435f178b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d50d0-d8f0-4351-bcc9-bc0089db6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Pildisildid" ma:readOnly="false" ma:fieldId="{5cf76f15-5ced-4ddc-b409-7134ff3c332f}" ma:taxonomyMulti="true" ma:sspId="ec5b9f97-a3a9-4673-b973-1f963bf50aa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000f76-03c3-4a6d-ba20-82435f178b63" elementFormDefault="qualified">
    <xsd:import namespace="http://schemas.microsoft.com/office/2006/documentManagement/types"/>
    <xsd:import namespace="http://schemas.microsoft.com/office/infopath/2007/PartnerControls"/>
    <xsd:element name="SharedWithUsers" ma:index="1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Ühiskasutusse andmise üksikasjad" ma:internalName="SharedWithDetails" ma:readOnly="true">
      <xsd:simpleType>
        <xsd:restriction base="dms:Note">
          <xsd:maxLength value="255"/>
        </xsd:restriction>
      </xsd:simpleType>
    </xsd:element>
    <xsd:element name="TaxCatchAll" ma:index="23" nillable="true" ma:displayName="Taxonomy Catch All Column" ma:hidden="true" ma:list="{eb8b964a-4c45-40bb-880e-562ce8cd8a41}" ma:internalName="TaxCatchAll" ma:showField="CatchAllData" ma:web="0e000f76-03c3-4a6d-ba20-82435f178b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bd50d0-d8f0-4351-bcc9-bc0089db6ffe">
      <Terms xmlns="http://schemas.microsoft.com/office/infopath/2007/PartnerControls"/>
    </lcf76f155ced4ddcb4097134ff3c332f>
    <TaxCatchAll xmlns="0e000f76-03c3-4a6d-ba20-82435f178b63" xsi:nil="true"/>
  </documentManagement>
</p:properties>
</file>

<file path=customXml/itemProps1.xml><?xml version="1.0" encoding="utf-8"?>
<ds:datastoreItem xmlns:ds="http://schemas.openxmlformats.org/officeDocument/2006/customXml" ds:itemID="{7B856155-813C-4AEC-A81B-317B68949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d50d0-d8f0-4351-bcc9-bc0089db6ffe"/>
    <ds:schemaRef ds:uri="0e000f76-03c3-4a6d-ba20-82435f178b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90A508-B0D8-45EB-91E5-C26373E979A3}">
  <ds:schemaRefs>
    <ds:schemaRef ds:uri="http://schemas.microsoft.com/sharepoint/v3/contenttype/forms"/>
  </ds:schemaRefs>
</ds:datastoreItem>
</file>

<file path=customXml/itemProps3.xml><?xml version="1.0" encoding="utf-8"?>
<ds:datastoreItem xmlns:ds="http://schemas.openxmlformats.org/officeDocument/2006/customXml" ds:itemID="{D6A126EC-8F81-4A49-9FA9-8A4A71257C61}">
  <ds:schemaRefs>
    <ds:schemaRef ds:uri="http://schemas.microsoft.com/office/2006/metadata/properties"/>
    <ds:schemaRef ds:uri="http://schemas.microsoft.com/office/infopath/2007/PartnerControls"/>
    <ds:schemaRef ds:uri="51bd50d0-d8f0-4351-bcc9-bc0089db6ffe"/>
    <ds:schemaRef ds:uri="0e000f76-03c3-4a6d-ba20-82435f178b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15</vt:i4>
      </vt:variant>
      <vt:variant>
        <vt:lpstr>Nimega vahemikud</vt:lpstr>
      </vt:variant>
      <vt:variant>
        <vt:i4>306</vt:i4>
      </vt:variant>
    </vt:vector>
  </HeadingPairs>
  <TitlesOfParts>
    <vt:vector size="321" baseType="lpstr">
      <vt:lpstr>SISSEJUHATUS</vt:lpstr>
      <vt:lpstr>ÜLDANDMED</vt:lpstr>
      <vt:lpstr>ELEKTER</vt:lpstr>
      <vt:lpstr>SOOJUS</vt:lpstr>
      <vt:lpstr>VESI</vt:lpstr>
      <vt:lpstr>PABER</vt:lpstr>
      <vt:lpstr>JÄÄTMED</vt:lpstr>
      <vt:lpstr>KOOND</vt:lpstr>
      <vt:lpstr>KHG_OMA SÕIDUKID M1</vt:lpstr>
      <vt:lpstr>KHG_HAJUSHEITMED M1</vt:lpstr>
      <vt:lpstr>KHG_TÖÖREISID M3</vt:lpstr>
      <vt:lpstr>KHG_TÖÖLE-KOJU M3</vt:lpstr>
      <vt:lpstr>KHG_TRANSPORDITEENUS M3</vt:lpstr>
      <vt:lpstr>KHG JALAJÄLG KOOND</vt:lpstr>
      <vt:lpstr>KHG eriheitetegurid</vt:lpstr>
      <vt:lpstr>a_2022</vt:lpstr>
      <vt:lpstr>a_2023</vt:lpstr>
      <vt:lpstr>a_2024</vt:lpstr>
      <vt:lpstr>a_2025</vt:lpstr>
      <vt:lpstr>a_2026</vt:lpstr>
      <vt:lpstr>a_2027</vt:lpstr>
      <vt:lpstr>a_2028</vt:lpstr>
      <vt:lpstr>b_2022</vt:lpstr>
      <vt:lpstr>b_2023</vt:lpstr>
      <vt:lpstr>b_2024</vt:lpstr>
      <vt:lpstr>b_2025</vt:lpstr>
      <vt:lpstr>b_2026</vt:lpstr>
      <vt:lpstr>b_2027</vt:lpstr>
      <vt:lpstr>b_2028</vt:lpstr>
      <vt:lpstr>c_2022</vt:lpstr>
      <vt:lpstr>c_2023</vt:lpstr>
      <vt:lpstr>c_2024</vt:lpstr>
      <vt:lpstr>c_2025</vt:lpstr>
      <vt:lpstr>c_2026</vt:lpstr>
      <vt:lpstr>c_2027</vt:lpstr>
      <vt:lpstr>c_2028</vt:lpstr>
      <vt:lpstr>jäätmed_biojäätmed</vt:lpstr>
      <vt:lpstr>jäätmed_klaas</vt:lpstr>
      <vt:lpstr>jäätmed_paber</vt:lpstr>
      <vt:lpstr>jäätmed_segaolme_prügila</vt:lpstr>
      <vt:lpstr>jäätmed_segaolme_põletus</vt:lpstr>
      <vt:lpstr>jäätmed_segapakend</vt:lpstr>
      <vt:lpstr>kodukontor_elekter</vt:lpstr>
      <vt:lpstr>kodukontor_valgustus</vt:lpstr>
      <vt:lpstr>kütus_bensiin_kaubik_2022</vt:lpstr>
      <vt:lpstr>kütus_bensiin_kaubik_2023</vt:lpstr>
      <vt:lpstr>kütus_bensiin_kaubik_2024</vt:lpstr>
      <vt:lpstr>kütus_bensiin_kaubik_2025</vt:lpstr>
      <vt:lpstr>kütus_bensiin_kaubik_2026</vt:lpstr>
      <vt:lpstr>kütus_bensiin_kaubik_2027</vt:lpstr>
      <vt:lpstr>kütus_bensiin_kaubik_2028</vt:lpstr>
      <vt:lpstr>kütus_bensiin_sõiduauto_2022</vt:lpstr>
      <vt:lpstr>kütus_bensiin_sõiduauto_2023</vt:lpstr>
      <vt:lpstr>kütus_bensiin_sõiduauto_2024</vt:lpstr>
      <vt:lpstr>kütus_bensiin_sõiduauto_2025</vt:lpstr>
      <vt:lpstr>kütus_bensiin_sõiduauto_2026</vt:lpstr>
      <vt:lpstr>kütus_bensiin_sõiduauto_2027</vt:lpstr>
      <vt:lpstr>kütus_bensiin_sõiduauto_2028</vt:lpstr>
      <vt:lpstr>kütus_bioCNG_sõiduauto_2022</vt:lpstr>
      <vt:lpstr>kütus_bioCNG_sõiduauto_2023</vt:lpstr>
      <vt:lpstr>kütus_bioCNG_sõiduauto_2024</vt:lpstr>
      <vt:lpstr>kütus_bioCNG_sõiduauto_2025</vt:lpstr>
      <vt:lpstr>kütus_bioCNG_sõiduauto_2026</vt:lpstr>
      <vt:lpstr>kütus_bioCNG_sõiduauto_2027</vt:lpstr>
      <vt:lpstr>kütus_bioCNG_sõiduauto_2028</vt:lpstr>
      <vt:lpstr>kütus_CNG_sõiduauto_2022</vt:lpstr>
      <vt:lpstr>kütus_CNG_sõiduauto_2023</vt:lpstr>
      <vt:lpstr>kütus_CNG_sõiduauto_2024</vt:lpstr>
      <vt:lpstr>kütus_CNG_sõiduauto_2025</vt:lpstr>
      <vt:lpstr>kütus_CNG_sõiduauto_2026</vt:lpstr>
      <vt:lpstr>kütus_CNG_sõiduauto_2027</vt:lpstr>
      <vt:lpstr>kütus_CNG_sõiduauto_2028</vt:lpstr>
      <vt:lpstr>kütus_diisel_buss_2022</vt:lpstr>
      <vt:lpstr>kütus_diisel_buss_2023</vt:lpstr>
      <vt:lpstr>kütus_diisel_buss_2024</vt:lpstr>
      <vt:lpstr>kütus_diisel_buss_2025</vt:lpstr>
      <vt:lpstr>kütus_diisel_buss_2026</vt:lpstr>
      <vt:lpstr>kütus_diisel_buss_2027</vt:lpstr>
      <vt:lpstr>kütus_diisel_buss_2028</vt:lpstr>
      <vt:lpstr>kütus_diisel_kaubik_2022</vt:lpstr>
      <vt:lpstr>kütus_diisel_kaubik_2023</vt:lpstr>
      <vt:lpstr>kütus_diisel_kaubik_2024</vt:lpstr>
      <vt:lpstr>kütus_diisel_kaubik_2025</vt:lpstr>
      <vt:lpstr>kütus_diisel_kaubik_2026</vt:lpstr>
      <vt:lpstr>kütus_diisel_kaubik_2027</vt:lpstr>
      <vt:lpstr>kütus_diisel_kaubik_2028</vt:lpstr>
      <vt:lpstr>kütus_diisel_sõiduauto_2022</vt:lpstr>
      <vt:lpstr>kütus_diisel_sõiduauto_2023</vt:lpstr>
      <vt:lpstr>kütus_diisel_sõiduauto_2024</vt:lpstr>
      <vt:lpstr>kütus_diisel_sõiduauto_2025</vt:lpstr>
      <vt:lpstr>kütus_diisel_sõiduauto_2026</vt:lpstr>
      <vt:lpstr>kütus_diisel_sõiduauto_2027</vt:lpstr>
      <vt:lpstr>kütus_diisel_sõiduauto_2028</vt:lpstr>
      <vt:lpstr>kütus_taastuvelekter</vt:lpstr>
      <vt:lpstr>lehträtik</vt:lpstr>
      <vt:lpstr>lokaalküte_biomass_2022</vt:lpstr>
      <vt:lpstr>lokaalküte_biomass_2023</vt:lpstr>
      <vt:lpstr>lokaalküte_biomass_2024</vt:lpstr>
      <vt:lpstr>lokaalküte_biomass_2025</vt:lpstr>
      <vt:lpstr>lokaalküte_biomass_2026</vt:lpstr>
      <vt:lpstr>lokaalküte_biomass_2027</vt:lpstr>
      <vt:lpstr>lokaalküte_biomass_2028</vt:lpstr>
      <vt:lpstr>lokaalküte_freesturvas_2022</vt:lpstr>
      <vt:lpstr>lokaalküte_freesturvas_2023</vt:lpstr>
      <vt:lpstr>lokaalküte_freesturvas_2024</vt:lpstr>
      <vt:lpstr>lokaalküte_freesturvas_2025</vt:lpstr>
      <vt:lpstr>lokaalküte_freesturvas_2026</vt:lpstr>
      <vt:lpstr>lokaalküte_freesturvas_2027</vt:lpstr>
      <vt:lpstr>lokaalküte_freesturvas_2028</vt:lpstr>
      <vt:lpstr>lokaalküte_kütteõli_2022</vt:lpstr>
      <vt:lpstr>lokaalküte_kütteõli_2023</vt:lpstr>
      <vt:lpstr>lokaalküte_kütteõli_2024</vt:lpstr>
      <vt:lpstr>lokaalküte_kütteõli_2025</vt:lpstr>
      <vt:lpstr>lokaalküte_kütteõli_2026</vt:lpstr>
      <vt:lpstr>lokaalküte_kütteõli_2027</vt:lpstr>
      <vt:lpstr>lokaalküte_kütteõli_2028</vt:lpstr>
      <vt:lpstr>lokaalküte_maagaas_2022</vt:lpstr>
      <vt:lpstr>lokaalküte_maagaas_2023</vt:lpstr>
      <vt:lpstr>lokaalküte_maagaas_2024</vt:lpstr>
      <vt:lpstr>lokaalküte_maagaas_2025</vt:lpstr>
      <vt:lpstr>lokaalküte_maagaas_2026</vt:lpstr>
      <vt:lpstr>lokaalküte_maagaas_2027</vt:lpstr>
      <vt:lpstr>lokaalküte_maagaas_2028</vt:lpstr>
      <vt:lpstr>lokaalküte_põlevkiviõli_2022</vt:lpstr>
      <vt:lpstr>lokaalküte_põlevkiviõli_2023</vt:lpstr>
      <vt:lpstr>lokaalküte_põlevkiviõli_2024</vt:lpstr>
      <vt:lpstr>lokaalküte_põlevkiviõli_2025</vt:lpstr>
      <vt:lpstr>lokaalküte_põlevkiviõli_2026</vt:lpstr>
      <vt:lpstr>lokaalküte_põlevkiviõli_2027</vt:lpstr>
      <vt:lpstr>lokaalküte_põlevkiviõli_2028</vt:lpstr>
      <vt:lpstr>paber_2022</vt:lpstr>
      <vt:lpstr>paber_2023</vt:lpstr>
      <vt:lpstr>paber_2024</vt:lpstr>
      <vt:lpstr>paber_2025</vt:lpstr>
      <vt:lpstr>paber_2026</vt:lpstr>
      <vt:lpstr>paber_2027</vt:lpstr>
      <vt:lpstr>paber_2028</vt:lpstr>
      <vt:lpstr>segajääk_2022</vt:lpstr>
      <vt:lpstr>segajääk_2023</vt:lpstr>
      <vt:lpstr>segajääk_2024</vt:lpstr>
      <vt:lpstr>segajääk_2025</vt:lpstr>
      <vt:lpstr>segajääk_2026</vt:lpstr>
      <vt:lpstr>segajääk_2027</vt:lpstr>
      <vt:lpstr>segajääk_2028</vt:lpstr>
      <vt:lpstr>sõiduauto_bensiin_2022</vt:lpstr>
      <vt:lpstr>sõiduauto_bensiin_2023</vt:lpstr>
      <vt:lpstr>sõiduauto_bensiin_2024</vt:lpstr>
      <vt:lpstr>sõiduauto_bensiin_2025</vt:lpstr>
      <vt:lpstr>sõiduauto_bensiin_2026</vt:lpstr>
      <vt:lpstr>sõiduauto_bensiin_2027</vt:lpstr>
      <vt:lpstr>sõiduauto_bensiin_2028</vt:lpstr>
      <vt:lpstr>sõiduauto_bioCNG_2022</vt:lpstr>
      <vt:lpstr>sõiduauto_bioCNG_2023</vt:lpstr>
      <vt:lpstr>sõiduauto_bioCNG_2024</vt:lpstr>
      <vt:lpstr>sõiduauto_bioCNG_2025</vt:lpstr>
      <vt:lpstr>sõiduauto_bioCNG_2026</vt:lpstr>
      <vt:lpstr>sõiduauto_bioCNG_2027</vt:lpstr>
      <vt:lpstr>sõiduauto_bioCNG_2028</vt:lpstr>
      <vt:lpstr>sõiduauto_CNG_2022</vt:lpstr>
      <vt:lpstr>sõiduauto_CNG_2023</vt:lpstr>
      <vt:lpstr>sõiduauto_CNG_2024</vt:lpstr>
      <vt:lpstr>sõiduauto_CNG_2025</vt:lpstr>
      <vt:lpstr>sõiduauto_CNG_2026</vt:lpstr>
      <vt:lpstr>sõiduauto_CNG_2027</vt:lpstr>
      <vt:lpstr>sõiduauto_CNG_2028</vt:lpstr>
      <vt:lpstr>sõiduauto_diisel_2022</vt:lpstr>
      <vt:lpstr>sõiduauto_diisel_2023</vt:lpstr>
      <vt:lpstr>sõiduauto_diisel_2024</vt:lpstr>
      <vt:lpstr>sõiduauto_diisel_2025</vt:lpstr>
      <vt:lpstr>sõiduauto_diisel_2026</vt:lpstr>
      <vt:lpstr>sõiduauto_diisel_2027</vt:lpstr>
      <vt:lpstr>sõiduauto_diisel_2028</vt:lpstr>
      <vt:lpstr>sõiduauto_hübriid_2022</vt:lpstr>
      <vt:lpstr>sõiduauto_hübriid_2023</vt:lpstr>
      <vt:lpstr>sõiduauto_hübriid_2024</vt:lpstr>
      <vt:lpstr>sõiduauto_hübriid_2025</vt:lpstr>
      <vt:lpstr>sõiduauto_hübriid_2026</vt:lpstr>
      <vt:lpstr>sõiduauto_hübriid_2027</vt:lpstr>
      <vt:lpstr>sõiduauto_hübriid_2028</vt:lpstr>
      <vt:lpstr>sõiduauto_taastuvelekter</vt:lpstr>
      <vt:lpstr>sõiduauto_tavaelekter_2022</vt:lpstr>
      <vt:lpstr>sõiduauto_tavaelekter_2023</vt:lpstr>
      <vt:lpstr>sõiduauto_tavaelekter_2024</vt:lpstr>
      <vt:lpstr>sõiduauto_tavaelekter_2025</vt:lpstr>
      <vt:lpstr>sõiduauto_tavaelekter_2026</vt:lpstr>
      <vt:lpstr>sõiduauto_tavaelekter_2027</vt:lpstr>
      <vt:lpstr>sõiduauto_tavaelekter_2028</vt:lpstr>
      <vt:lpstr>sõiduk_buss_kaugliin_2022</vt:lpstr>
      <vt:lpstr>sõiduk_buss_kaugliin_2023</vt:lpstr>
      <vt:lpstr>sõiduk_buss_kaugliin_2024</vt:lpstr>
      <vt:lpstr>sõiduk_buss_kaugliin_2025</vt:lpstr>
      <vt:lpstr>sõiduk_buss_kaugliin_2026</vt:lpstr>
      <vt:lpstr>sõiduk_buss_kaugliin_2027</vt:lpstr>
      <vt:lpstr>sõiduk_buss_kaugliin_2028</vt:lpstr>
      <vt:lpstr>sõiduk_buss_linnaliin_Eesti_2022</vt:lpstr>
      <vt:lpstr>sõiduk_buss_linnaliin_Eesti_2023</vt:lpstr>
      <vt:lpstr>sõiduk_buss_linnaliin_Eesti_2024</vt:lpstr>
      <vt:lpstr>sõiduk_buss_linnaliin_Eesti_2025</vt:lpstr>
      <vt:lpstr>sõiduk_buss_linnaliin_Eesti_2026</vt:lpstr>
      <vt:lpstr>sõiduk_buss_linnaliin_Eesti_2027</vt:lpstr>
      <vt:lpstr>sõiduk_buss_linnaliin_Eesti_2028</vt:lpstr>
      <vt:lpstr>sõiduk_buss_linnaliin_Tallinn_2022</vt:lpstr>
      <vt:lpstr>sõiduk_buss_linnaliin_Tallinn_2023</vt:lpstr>
      <vt:lpstr>sõiduk_buss_linnaliin_Tallinn_2024</vt:lpstr>
      <vt:lpstr>sõiduk_buss_linnaliin_Tallinn_2025</vt:lpstr>
      <vt:lpstr>sõiduk_buss_linnaliin_Tallinn_2026</vt:lpstr>
      <vt:lpstr>sõiduk_buss_linnaliin_Tallinn_2027</vt:lpstr>
      <vt:lpstr>sõiduk_buss_linnaliin_Tallinn_2028</vt:lpstr>
      <vt:lpstr>sõiduk_buss_maakondlik_2022</vt:lpstr>
      <vt:lpstr>sõiduk_buss_maakondlik_2023</vt:lpstr>
      <vt:lpstr>sõiduk_buss_maakondlik_2024</vt:lpstr>
      <vt:lpstr>sõiduk_buss_maakondlik_2025</vt:lpstr>
      <vt:lpstr>sõiduk_buss_maakondlik_2026</vt:lpstr>
      <vt:lpstr>sõiduk_buss_maakondlik_2027</vt:lpstr>
      <vt:lpstr>sõiduk_buss_maakondlik_2028</vt:lpstr>
      <vt:lpstr>sõiduk_diiselrong_2022</vt:lpstr>
      <vt:lpstr>sõiduk_diiselrong_2023</vt:lpstr>
      <vt:lpstr>sõiduk_diiselrong_2024</vt:lpstr>
      <vt:lpstr>sõiduk_diiselrong_2025</vt:lpstr>
      <vt:lpstr>sõiduk_diiselrong_2026</vt:lpstr>
      <vt:lpstr>sõiduk_diiselrong_2027</vt:lpstr>
      <vt:lpstr>sõiduk_diiselrong_2028</vt:lpstr>
      <vt:lpstr>sõiduk_elektrirong</vt:lpstr>
      <vt:lpstr>sõiduk_laev_2022</vt:lpstr>
      <vt:lpstr>sõiduk_laev_2023</vt:lpstr>
      <vt:lpstr>sõiduk_laev_2024</vt:lpstr>
      <vt:lpstr>sõiduk_laev_2025</vt:lpstr>
      <vt:lpstr>sõiduk_laev_2026</vt:lpstr>
      <vt:lpstr>sõiduk_laev_2027</vt:lpstr>
      <vt:lpstr>sõiduk_laev_2028</vt:lpstr>
      <vt:lpstr>sõiduk_lennuk_2022</vt:lpstr>
      <vt:lpstr>sõiduk_lennuk_2023</vt:lpstr>
      <vt:lpstr>sõiduk_lennuk_2024</vt:lpstr>
      <vt:lpstr>sõiduk_lennuk_2025</vt:lpstr>
      <vt:lpstr>sõiduk_lennuk_2026</vt:lpstr>
      <vt:lpstr>sõiduk_lennuk_2027</vt:lpstr>
      <vt:lpstr>sõiduk_lennuk_2028</vt:lpstr>
      <vt:lpstr>sõiduk_taastuvelektriratas</vt:lpstr>
      <vt:lpstr>sõiduk_takso_2022</vt:lpstr>
      <vt:lpstr>sõiduk_takso_2023</vt:lpstr>
      <vt:lpstr>sõiduk_takso_2024</vt:lpstr>
      <vt:lpstr>sõiduk_takso_2025</vt:lpstr>
      <vt:lpstr>sõiduk_takso_2026</vt:lpstr>
      <vt:lpstr>sõiduk_takso_2027</vt:lpstr>
      <vt:lpstr>sõiduk_takso_2028</vt:lpstr>
      <vt:lpstr>sõiduk_tavaelektriratas_2022</vt:lpstr>
      <vt:lpstr>sõiduk_tavaelektriratas_2023</vt:lpstr>
      <vt:lpstr>sõiduk_tavaelektriratas_2024</vt:lpstr>
      <vt:lpstr>sõiduk_tavaelektriratas_2025</vt:lpstr>
      <vt:lpstr>sõiduk_tavaelektriratas_2026</vt:lpstr>
      <vt:lpstr>sõiduk_tavaelektriratas_2027</vt:lpstr>
      <vt:lpstr>sõiduk_tavaelektriratas_2028</vt:lpstr>
      <vt:lpstr>sõiduk_tavajalgratas</vt:lpstr>
      <vt:lpstr>sõiduk_tramm</vt:lpstr>
      <vt:lpstr>transport_buss_2022</vt:lpstr>
      <vt:lpstr>transport_buss_2023</vt:lpstr>
      <vt:lpstr>transport_buss_2024</vt:lpstr>
      <vt:lpstr>transport_buss_2025</vt:lpstr>
      <vt:lpstr>transport_buss_2026</vt:lpstr>
      <vt:lpstr>transport_buss_2027</vt:lpstr>
      <vt:lpstr>transport_buss_2028</vt:lpstr>
      <vt:lpstr>transport_kaubik_bensiin_km_2022</vt:lpstr>
      <vt:lpstr>transport_kaubik_bensiin_km_2023</vt:lpstr>
      <vt:lpstr>transport_kaubik_bensiin_km_2024</vt:lpstr>
      <vt:lpstr>transport_kaubik_bensiin_km_2025</vt:lpstr>
      <vt:lpstr>transport_kaubik_bensiin_km_2026</vt:lpstr>
      <vt:lpstr>transport_kaubik_bensiin_km_2027</vt:lpstr>
      <vt:lpstr>transport_kaubik_bensiin_km_2028</vt:lpstr>
      <vt:lpstr>transport_kaubik_bensiin_tonnkm_2022</vt:lpstr>
      <vt:lpstr>transport_kaubik_bensiin_tonnkm_2023</vt:lpstr>
      <vt:lpstr>transport_kaubik_bensiin_tonnkm_2024</vt:lpstr>
      <vt:lpstr>transport_kaubik_bensiin_tonnkm_2025</vt:lpstr>
      <vt:lpstr>transport_kaubik_bensiin_tonnkm_2026</vt:lpstr>
      <vt:lpstr>transport_kaubik_bensiin_tonnkm_2027</vt:lpstr>
      <vt:lpstr>transport_kaubik_bensiin_tonnkm_2028</vt:lpstr>
      <vt:lpstr>transport_kaubik_diisel_km_2022</vt:lpstr>
      <vt:lpstr>transport_kaubik_diisel_km_2023</vt:lpstr>
      <vt:lpstr>transport_kaubik_diisel_km_2024</vt:lpstr>
      <vt:lpstr>transport_kaubik_diisel_km_2025</vt:lpstr>
      <vt:lpstr>transport_kaubik_diisel_km_2026</vt:lpstr>
      <vt:lpstr>transport_kaubik_diisel_km_2027</vt:lpstr>
      <vt:lpstr>transport_kaubik_diisel_km_2028</vt:lpstr>
      <vt:lpstr>transport_kaubik_diisel_tonnkm_2022</vt:lpstr>
      <vt:lpstr>transport_kaubik_diisel_tonnkm_2023</vt:lpstr>
      <vt:lpstr>transport_kaubik_diisel_tonnkm_2024</vt:lpstr>
      <vt:lpstr>transport_kaubik_diisel_tonnkm_2025</vt:lpstr>
      <vt:lpstr>transport_kaubik_diisel_tonnkm_2026</vt:lpstr>
      <vt:lpstr>transport_kaubik_diisel_tonnkm_2027</vt:lpstr>
      <vt:lpstr>transport_kaubik_diisel_tonnkm_2028</vt:lpstr>
      <vt:lpstr>transport_kaubik_taastuvelekter_km</vt:lpstr>
      <vt:lpstr>transport_kaubik_taastuvelekter_tonnkm</vt:lpstr>
      <vt:lpstr>transport_kaubik_tavaelekter_km_2022</vt:lpstr>
      <vt:lpstr>transport_kaubik_tavaelekter_km_2023</vt:lpstr>
      <vt:lpstr>transport_kaubik_tavaelekter_km_2024</vt:lpstr>
      <vt:lpstr>transport_kaubik_tavaelekter_km_2025</vt:lpstr>
      <vt:lpstr>transport_kaubik_tavaelekter_km_2026</vt:lpstr>
      <vt:lpstr>transport_kaubik_tavaelekter_km_2027</vt:lpstr>
      <vt:lpstr>transport_kaubik_tavaelekter_km_2028</vt:lpstr>
      <vt:lpstr>transport_kaubik_tavaelekter_tonnkm_2022</vt:lpstr>
      <vt:lpstr>transport_kaubik_tavaelekter_tonnkm_2023</vt:lpstr>
      <vt:lpstr>transport_kaubik_tavaelekter_tonnkm_2024</vt:lpstr>
      <vt:lpstr>transport_kaubik_tavaelekter_tonnkm_2025</vt:lpstr>
      <vt:lpstr>transport_kaubik_tavaelekter_tonnkm_2026</vt:lpstr>
      <vt:lpstr>transport_kaubik_tavaelekter_tonnkm_2027</vt:lpstr>
      <vt:lpstr>transport_kaubik_tavaelekter_tonnkm_2028</vt:lpstr>
      <vt:lpstr>transport_väikebuss_2022</vt:lpstr>
      <vt:lpstr>transport_väikebuss_2023</vt:lpstr>
      <vt:lpstr>transport_väikebuss_2024</vt:lpstr>
      <vt:lpstr>transport_väikebuss_2025</vt:lpstr>
      <vt:lpstr>transport_väikebuss_2026</vt:lpstr>
      <vt:lpstr>transport_väikebuss_2027</vt:lpstr>
      <vt:lpstr>transport_väikebuss_2028</vt:lpstr>
      <vt:lpstr>tualettpaber</vt:lpstr>
      <vt:lpstr>tööle_koju_jalgsi</vt:lpstr>
      <vt:lpstr>vesi_2022</vt:lpstr>
      <vt:lpstr>vesi_2023</vt:lpstr>
      <vt:lpstr>vesi_2024</vt:lpstr>
      <vt:lpstr>vesi_2025</vt:lpstr>
      <vt:lpstr>vesi_2026</vt:lpstr>
      <vt:lpstr>vesi_2027</vt:lpstr>
      <vt:lpstr>vesi_2028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2025-04-01T09:05:15Z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0x0101009FB5836B143DC4489B22C23BC79EF2DD</vt:lpwstr>
  </property>
  <property fmtid="{D5CDD505-2E9C-101B-9397-08002B2CF9AE}" pid="3" name="MediaServiceImageTags">
    <vt:lpwstr/>
  </property>
</Properties>
</file>